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codeName="ThisWorkbook" defaultThemeVersion="124226"/>
  <mc:AlternateContent xmlns:mc="http://schemas.openxmlformats.org/markup-compatibility/2006">
    <mc:Choice Requires="x15">
      <x15ac:absPath xmlns:x15ac="http://schemas.microsoft.com/office/spreadsheetml/2010/11/ac" url="C:\Users\226619\Desktop\Transplant\Transplant Matrix for 10.1.2026 PENDING\"/>
    </mc:Choice>
  </mc:AlternateContent>
  <xr:revisionPtr revIDLastSave="0" documentId="8_{2FB0C29D-3AEB-4834-883E-4A1554D576F2}" xr6:coauthVersionLast="47" xr6:coauthVersionMax="47" xr10:uidLastSave="{00000000-0000-0000-0000-000000000000}"/>
  <bookViews>
    <workbookView xWindow="-57720" yWindow="-120" windowWidth="29040" windowHeight="15720" tabRatio="827" firstSheet="75" activeTab="75" xr2:uid="{00000000-000D-0000-FFFF-FFFF00000000}"/>
  </bookViews>
  <sheets>
    <sheet name="Index By Hospital" sheetId="211" r:id="rId1"/>
    <sheet name="Index By Type" sheetId="212" r:id="rId2"/>
    <sheet name="Updates &amp; QC 2025" sheetId="207" state="veryHidden" r:id="rId3"/>
    <sheet name="Change Log" sheetId="213" state="veryHidden" r:id="rId4"/>
    <sheet name="RatesForLookup" sheetId="197" state="veryHidden" r:id="rId5"/>
    <sheet name="2026_BannerMD_BMT_AUT_ADULT" sheetId="68" r:id="rId6"/>
    <sheet name="2026_BannerMD_BMT_ALLO_RELA" sheetId="190" r:id="rId7"/>
    <sheet name="2026_BannerMD_BMT_HAPLOID" sheetId="96" r:id="rId8"/>
    <sheet name="2026_BannerMD_BMT_ALLO_UNREL" sheetId="95" r:id="rId9"/>
    <sheet name="2026_BannerMD_TBI" sheetId="146" r:id="rId10"/>
    <sheet name="2026_BUMCP_HEART" sheetId="134" r:id="rId11"/>
    <sheet name="2026_BUMCP_KIDNEY_CADAVERIC" sheetId="1" r:id="rId12"/>
    <sheet name="2026_BUMCP_KIDNEY_LIVING" sheetId="2" r:id="rId13"/>
    <sheet name="2026_BUMCP_PANCREA_AFTER_KDY" sheetId="3" r:id="rId14"/>
    <sheet name="2026_BUMCP_SIM_KIDNEY_PANCR" sheetId="4" r:id="rId15"/>
    <sheet name="2026_BUMCP_CAD_LIVER" sheetId="5" r:id="rId16"/>
    <sheet name="2026_BUMCP_SIMUL_CAD_LIV_KDY" sheetId="67" r:id="rId17"/>
    <sheet name="2026_BUMCT_AUT_PEDS" sheetId="106" r:id="rId18"/>
    <sheet name="2026_BUMCT_ALLO_RELA_PEDS" sheetId="107" r:id="rId19"/>
    <sheet name="2026_BUMCT_HAPLOID_PEDS" sheetId="109" r:id="rId20"/>
    <sheet name="2026_BUMCT_ALLO_UNRE_PEDS" sheetId="108" r:id="rId21"/>
    <sheet name="2026_BUMCT_BMT_AUTO_ADULT" sheetId="37" r:id="rId22"/>
    <sheet name="2026_BUMCT_BMT_ALLO_REL_ADULT" sheetId="38" r:id="rId23"/>
    <sheet name="2026_BUMCT_BMT_HAPLOID_ADULT" sheetId="91" r:id="rId24"/>
    <sheet name="2026_BUMCT_BMT_ALLO_UNREL_ADULT" sheetId="39" r:id="rId25"/>
    <sheet name="2026_BUMCT_TBI" sheetId="150" r:id="rId26"/>
    <sheet name="2026_BUMCT_KIDNEY_LIVING" sheetId="66" r:id="rId27"/>
    <sheet name="2026_BUMCT_KIDNEY_CADAVERIC" sheetId="60" r:id="rId28"/>
    <sheet name="2026_BUMCT_PANCREAS_AFTER_KDY" sheetId="46" r:id="rId29"/>
    <sheet name="2026_BUMCT_SIM_PANCREA_KDY" sheetId="47" r:id="rId30"/>
    <sheet name="2026_CITYHOPE_BMT_AUT_ADULT" sheetId="162" r:id="rId31"/>
    <sheet name="2026_CITYHOPE_BMT_ALLO_UNREL_AD" sheetId="204" r:id="rId32"/>
    <sheet name="2026_CITYHOPE_BMT_ALLO_REL_ADUL" sheetId="205" r:id="rId33"/>
    <sheet name="2026_CITYHOPE_BMT_HAPLOID_ADULT" sheetId="206" r:id="rId34"/>
    <sheet name="2026_LPCH_BMT_AUT_PEDS" sheetId="126" r:id="rId35"/>
    <sheet name="2026_LPCH_ALLO_RELA_PEDS" sheetId="127" r:id="rId36"/>
    <sheet name="2026_LPCH_ALLO_UNREL_PEDS" sheetId="128" r:id="rId37"/>
    <sheet name="2026_LPCH_TBI_PED" sheetId="83" r:id="rId38"/>
    <sheet name="2026_LPCH_Living_Liver" sheetId="78" r:id="rId39"/>
    <sheet name="2026_LPCH_CAD_Liver" sheetId="133" r:id="rId40"/>
    <sheet name="2026_LPCH_SingleDouble_Lung" sheetId="76" r:id="rId41"/>
    <sheet name="2026_LPCH_Heart" sheetId="144" r:id="rId42"/>
    <sheet name="2026_LPCH_Heart_Lung" sheetId="77" r:id="rId43"/>
    <sheet name="2026_LPCH_Heart_Liver" sheetId="191" r:id="rId44"/>
    <sheet name="2026_LPCH_Multivis_CadDonor" sheetId="79" r:id="rId45"/>
    <sheet name="2026_LPCH_IntestineCadDonor" sheetId="80" r:id="rId46"/>
    <sheet name="2026_MAYO_BMT_AUT_ADULT" sheetId="6" r:id="rId47"/>
    <sheet name="2026_MAYO_BMT_ALLO_REL_ADULT" sheetId="84" r:id="rId48"/>
    <sheet name="2026_MAYO_HAPLOID_BMT_ADULT" sheetId="87" r:id="rId49"/>
    <sheet name="2026_MAYO_BMT_ALLO_UNR_ADUL" sheetId="8" r:id="rId50"/>
    <sheet name="2026_MAYO_BMT_AUT_PED" sheetId="122" r:id="rId51"/>
    <sheet name="2026_MAYO_BMT_ALLO_REL_PED" sheetId="123" r:id="rId52"/>
    <sheet name="2026_MAYO_HAPLOID_BMT_PED" sheetId="124" r:id="rId53"/>
    <sheet name="2026_MAYO_BMT_ALLO_UNR_PED" sheetId="125" r:id="rId54"/>
    <sheet name="2026_MAYO_TBI_ADULT_AND_PED" sheetId="149" r:id="rId55"/>
    <sheet name="2026_MAYO_PHX_HEART" sheetId="9" r:id="rId56"/>
    <sheet name="2026_MAYO_KIDNEY_LIVING" sheetId="14" r:id="rId57"/>
    <sheet name="2026_MAYO_KIDNEY_CADAVERIC" sheetId="15" r:id="rId58"/>
    <sheet name="2026_MAYO_CAD_LIVER_ADULT" sheetId="11" r:id="rId59"/>
    <sheet name="2026_MAYO_SIMU_CADV_LIV_KDY" sheetId="10" r:id="rId60"/>
    <sheet name="2026_MAYO_SIMU_KDY_PANCREAS" sheetId="12" r:id="rId61"/>
    <sheet name="2026_MAYO_PANCREASafter_KDY" sheetId="13" r:id="rId62"/>
    <sheet name="2026_PCH_PED_BMT_AUTO" sheetId="18" r:id="rId63"/>
    <sheet name="2026_PCH_PED_BMT_ALLO_RELATE" sheetId="19" r:id="rId64"/>
    <sheet name="2026_PCH_PED_HAPLOID" sheetId="88" r:id="rId65"/>
    <sheet name="2026_PCH_PED_BMT_ALLO_UNREL" sheetId="20" r:id="rId66"/>
    <sheet name="2026_PCH_BMT_AUT_ADULT" sheetId="186" r:id="rId67"/>
    <sheet name="2026_PCH_BMT_ADULT_ALLO_REL" sheetId="187" r:id="rId68"/>
    <sheet name="2026_PCH_ADULT_HAPLOID" sheetId="188" r:id="rId69"/>
    <sheet name="2026_PCH_ADULT_ALLO_UNREL" sheetId="189" r:id="rId70"/>
    <sheet name="2026_PCH_TBI" sheetId="148" r:id="rId71"/>
    <sheet name="2026_PCH_VOD" sheetId="89" r:id="rId72"/>
    <sheet name="2026_PCH_KIDNEY_LIVING" sheetId="16" r:id="rId73"/>
    <sheet name="2026_PCH_KIDNEY_CADAVERIC" sheetId="17" r:id="rId74"/>
    <sheet name="2026_PCH_PEDIATRIC_HEART" sheetId="21" r:id="rId75"/>
    <sheet name="2026_PCH_PED_CADAVER_LIVER" sheetId="22" r:id="rId76"/>
    <sheet name="2026_SCH_SHEA_BMT_AUTO" sheetId="23" r:id="rId77"/>
    <sheet name="2026_SCH_SHEA_BMT_ALLO_REL" sheetId="24" r:id="rId78"/>
    <sheet name="2026_SCH_SHEA_HAPLOID_BMT" sheetId="90" r:id="rId79"/>
    <sheet name="2026_SCH_SHEA_BMT_ALLO_UNREL" sheetId="25" r:id="rId80"/>
    <sheet name="2026_SCH_SHEA_TBI" sheetId="147" r:id="rId81"/>
    <sheet name="2026_ST_JOSEPHS_SINGLE_LUNG" sheetId="26" r:id="rId82"/>
    <sheet name="2026_ST_JOSEPHS_DOUBLE_LUNG" sheetId="27" r:id="rId83"/>
    <sheet name="2026_ST_JOES_SIMUL_CAD_LIV_KID" sheetId="85" r:id="rId84"/>
    <sheet name="2026_ST_JOSEPHS_CAD_LIVER_ADULT" sheetId="86" r:id="rId85"/>
    <sheet name="2026_ST_JOSEPHS_CAD_KIDNEY" sheetId="81" r:id="rId86"/>
    <sheet name="2026_ST_JOSEPHS_LIVING_KDY" sheetId="82" r:id="rId87"/>
    <sheet name="2026_STANFORD_HEART" sheetId="132" r:id="rId88"/>
    <sheet name="2026_STANFORD_SINGLE_DOUBL_LUNG" sheetId="131" r:id="rId89"/>
    <sheet name="2026_STANFORD_Heart_Lung" sheetId="73" r:id="rId90"/>
    <sheet name="2026_UCSF_PED_ALLO_UNR_MUDSCID" sheetId="35" r:id="rId91"/>
    <sheet name="2026_UCSF_PED_ALLO_REL_SCIDS" sheetId="36" r:id="rId92"/>
    <sheet name="2026_UCSF_PED_AUT_MUDSCID" sheetId="140" r:id="rId93"/>
  </sheets>
  <externalReferences>
    <externalReference r:id="rId94"/>
    <externalReference r:id="rId95"/>
  </externalReferences>
  <definedNames>
    <definedName name="_xlnm._FilterDatabase" localSheetId="4" hidden="1">RatesForLookup!$A$3:$U$661</definedName>
    <definedName name="BannerMD_BMT_ALLO_RELA" localSheetId="3">[1]RatesForLookup!$H$11:$Q$18</definedName>
    <definedName name="BannerMD_BMT_ALLO_RELA" localSheetId="2">[2]RatesForLookup!$H$11:$Q$18</definedName>
    <definedName name="BannerMD_BMT_ALLO_RELA">RatesForLookup!$H$11:$Q$18</definedName>
    <definedName name="BannerMD_BMT_ALLO_UNREL" localSheetId="3">[1]RatesForLookup!$H$29:$Q$38</definedName>
    <definedName name="BannerMD_BMT_ALLO_UNREL" localSheetId="2">[2]RatesForLookup!$H$29:$Q$38</definedName>
    <definedName name="BannerMD_BMT_ALLO_UNREL">RatesForLookup!$H$29:$Q$38</definedName>
    <definedName name="BannerMD_BMT_AUT_ADULT" localSheetId="3">[1]RatesForLookup!$H$4:$Q$10</definedName>
    <definedName name="BannerMD_BMT_AUT_ADULT" localSheetId="2">[2]RatesForLookup!$H$4:$Q$10</definedName>
    <definedName name="BannerMD_BMT_AUT_ADULT">RatesForLookup!$H$4:$Q$10</definedName>
    <definedName name="BannerMD_BMT_HAPLOID" localSheetId="3">[1]RatesForLookup!$H$19:$Q$28</definedName>
    <definedName name="BannerMD_BMT_HAPLOID" localSheetId="2">[2]RatesForLookup!$H$19:$Q$28</definedName>
    <definedName name="BannerMD_BMT_HAPLOID">RatesForLookup!$H$19:$Q$28</definedName>
    <definedName name="BannerMD_TBI" localSheetId="3">[1]RatesForLookup!$H$39:$Q$39</definedName>
    <definedName name="BannerMD_TBI" localSheetId="2">[2]RatesForLookup!$H$39:$Q$39</definedName>
    <definedName name="BannerMD_TBI">RatesForLookup!$H$39:$Q$39</definedName>
    <definedName name="BUMCP_CAD_LIVER" localSheetId="3">[1]RatesForLookup!$H$69:$Q$74</definedName>
    <definedName name="BUMCP_CAD_LIVER" localSheetId="2">[2]RatesForLookup!$H$69:$Q$74</definedName>
    <definedName name="BUMCP_CAD_LIVER">RatesForLookup!$H$69:$Q$74</definedName>
    <definedName name="BUMCP_HEART" localSheetId="3">[1]RatesForLookup!$H$40:$Q$47</definedName>
    <definedName name="BUMCP_HEART" localSheetId="2">[2]RatesForLookup!$H$40:$Q$47</definedName>
    <definedName name="BUMCP_HEART">RatesForLookup!$H$40:$Q$47</definedName>
    <definedName name="BUMCP_KIDNEY_CADAVERIC" localSheetId="3">[1]RatesForLookup!$H$48:$Q$51</definedName>
    <definedName name="BUMCP_KIDNEY_CADAVERIC" localSheetId="2">[2]RatesForLookup!$H$48:$Q$51</definedName>
    <definedName name="BUMCP_KIDNEY_CADAVERIC">RatesForLookup!$H$48:$Q$51</definedName>
    <definedName name="BUMCP_KIDNEY_LIVING" localSheetId="3">[1]RatesForLookup!$H$52:$Q$56</definedName>
    <definedName name="BUMCP_KIDNEY_LIVING" localSheetId="2">[2]RatesForLookup!$H$52:$Q$56</definedName>
    <definedName name="BUMCP_KIDNEY_LIVING">RatesForLookup!$H$52:$Q$56</definedName>
    <definedName name="BUMCP_PANCREA_AFTER_KDY" localSheetId="3">[1]RatesForLookup!$H$57:$Q$62</definedName>
    <definedName name="BUMCP_PANCREA_AFTER_KDY" localSheetId="2">[2]RatesForLookup!$H$57:$Q$62</definedName>
    <definedName name="BUMCP_PANCREA_AFTER_KDY">RatesForLookup!$H$57:$Q$62</definedName>
    <definedName name="BUMCP_SIM_KIDNEY_PANCR" localSheetId="3">[1]RatesForLookup!$H$63:$Q$68</definedName>
    <definedName name="BUMCP_SIM_KIDNEY_PANCR" localSheetId="2">[2]RatesForLookup!$H$63:$Q$68</definedName>
    <definedName name="BUMCP_SIM_KIDNEY_PANCR">RatesForLookup!$H$63:$Q$68</definedName>
    <definedName name="BUMCP_SIMUL_CAD_LIV_KDY" localSheetId="3">[1]RatesForLookup!$H$75:$Q$80</definedName>
    <definedName name="BUMCP_SIMUL_CAD_LIV_KDY" localSheetId="2">[2]RatesForLookup!$H$75:$Q$80</definedName>
    <definedName name="BUMCP_SIMUL_CAD_LIV_KDY">RatesForLookup!$H$75:$Q$80</definedName>
    <definedName name="BUMCT_ALLO_RELA_PEDS" localSheetId="3">[1]RatesForLookup!$H$88:$Q$95</definedName>
    <definedName name="BUMCT_ALLO_RELA_PEDS" localSheetId="2">[2]RatesForLookup!$H$88:$Q$95</definedName>
    <definedName name="BUMCT_ALLO_RELA_PEDS">RatesForLookup!$H$88:$Q$95</definedName>
    <definedName name="BUMCT_ALLO_UNRE_PEDS" localSheetId="3">[1]RatesForLookup!$H$106:$Q$115</definedName>
    <definedName name="BUMCT_ALLO_UNRE_PEDS" localSheetId="2">[2]RatesForLookup!$H$106:$Q$115</definedName>
    <definedName name="BUMCT_ALLO_UNRE_PEDS">RatesForLookup!$H$106:$Q$115</definedName>
    <definedName name="BUMCT_AUT_PEDS" localSheetId="3">[1]RatesForLookup!$H$81:$Q$87</definedName>
    <definedName name="BUMCT_AUT_PEDS" localSheetId="2">[2]RatesForLookup!$H$81:$Q$87</definedName>
    <definedName name="BUMCT_AUT_PEDS">RatesForLookup!$H$81:$Q$87</definedName>
    <definedName name="BUMCT_BMT_ALLO_REL_ADULT" localSheetId="3">[1]RatesForLookup!$H$123:$Q$130</definedName>
    <definedName name="BUMCT_BMT_ALLO_REL_ADULT" localSheetId="2">[2]RatesForLookup!$H$123:$Q$130</definedName>
    <definedName name="BUMCT_BMT_ALLO_REL_ADULT">RatesForLookup!$H$123:$Q$130</definedName>
    <definedName name="BUMCT_BMT_ALLO_UNREL_ADULT" localSheetId="3">[1]RatesForLookup!$H$141:$Q$150</definedName>
    <definedName name="BUMCT_BMT_ALLO_UNREL_ADULT" localSheetId="2">[2]RatesForLookup!$H$141:$Q$150</definedName>
    <definedName name="BUMCT_BMT_ALLO_UNREL_ADULT">RatesForLookup!$H$141:$Q$150</definedName>
    <definedName name="BUMCT_BMT_AUTO_ADULT" localSheetId="3">[1]RatesForLookup!$H$116:$Q$122</definedName>
    <definedName name="BUMCT_BMT_AUTO_ADULT" localSheetId="2">[2]RatesForLookup!$H$116:$Q$122</definedName>
    <definedName name="BUMCT_BMT_AUTO_ADULT">RatesForLookup!$H$116:$Q$122</definedName>
    <definedName name="BUMCT_BMT_HAPLOID_ADULT" localSheetId="3">[1]RatesForLookup!$H$131:$Q$140</definedName>
    <definedName name="BUMCT_BMT_HAPLOID_ADULT" localSheetId="2">[2]RatesForLookup!$H$131:$Q$140</definedName>
    <definedName name="BUMCT_BMT_HAPLOID_ADULT">RatesForLookup!$H$131:$Q$140</definedName>
    <definedName name="BUMCT_CAD_LIVER">RatesForLookup!$H$173:$Q$178</definedName>
    <definedName name="BUMCT_DOUBLE_LUNG" localSheetId="2">[2]RatesForLookup!$H$191:$Q$196</definedName>
    <definedName name="BUMCT_DOUBLE_LUNG">RatesForLookup!$H$191:$Q$196</definedName>
    <definedName name="BUMCT_HAPLOID_PEDS" localSheetId="3">[1]RatesForLookup!$H$96:$Q$105</definedName>
    <definedName name="BUMCT_HAPLOID_PEDS" localSheetId="2">[2]RatesForLookup!$H$96:$Q$105</definedName>
    <definedName name="BUMCT_HAPLOID_PEDS">RatesForLookup!$H$96:$Q$105</definedName>
    <definedName name="BUMCT_KIDNEY_CADAVERIC" localSheetId="3">[1]RatesForLookup!$H$157:$Q$160</definedName>
    <definedName name="BUMCT_KIDNEY_CADAVERIC" localSheetId="2">[2]RatesForLookup!$H$157:$Q$160</definedName>
    <definedName name="BUMCT_KIDNEY_CADAVERIC">RatesForLookup!$H$157:$Q$160</definedName>
    <definedName name="BUMCT_KIDNEY_LIVING" localSheetId="3">[1]RatesForLookup!$H$152:$Q$156</definedName>
    <definedName name="BUMCT_KIDNEY_LIVING" localSheetId="2">[2]RatesForLookup!$H$152:$Q$156</definedName>
    <definedName name="BUMCT_KIDNEY_LIVING">RatesForLookup!$H$152:$Q$156</definedName>
    <definedName name="BUMCT_PANCREAS_AFTER_KDY" localSheetId="3">[1]RatesForLookup!$H$161:$Q$166</definedName>
    <definedName name="BUMCT_PANCREAS_AFTER_KDY" localSheetId="2">[2]RatesForLookup!$H$161:$Q$166</definedName>
    <definedName name="BUMCT_PANCREAS_AFTER_KDY">RatesForLookup!$H$161:$Q$166</definedName>
    <definedName name="BUMCT_SIM_PANCREA_KDY" localSheetId="3">[1]RatesForLookup!$H$167:$Q$172</definedName>
    <definedName name="BUMCT_SIM_PANCREA_KDY" localSheetId="2">[2]RatesForLookup!$H$167:$Q$172</definedName>
    <definedName name="BUMCT_SIM_PANCREA_KDY">RatesForLookup!$H$167:$Q$172</definedName>
    <definedName name="BUMCT_SIMUL_CAD_LIV_KDY">RatesForLookup!$H$179:$Q$184</definedName>
    <definedName name="BUMCT_SINGLE_LUNG" localSheetId="2">[2]RatesForLookup!$H$185:$Q$190</definedName>
    <definedName name="BUMCT_SINGLE_LUNG">RatesForLookup!$H$185:$Q$190</definedName>
    <definedName name="BUMCT_TBI" localSheetId="3">[1]RatesForLookup!$H$151:$Q$151</definedName>
    <definedName name="BUMCT_TBI" localSheetId="2">[2]RatesForLookup!$H$151:$Q$151</definedName>
    <definedName name="BUMCT_TBI">RatesForLookup!$H$151:$Q$151</definedName>
    <definedName name="CITYHOPE_BMT_ALLO_REL_ADULT" localSheetId="3">[1]RatesForLookup!$H$214:$Q$221</definedName>
    <definedName name="CITYHOPE_BMT_ALLO_REL_ADULT">RatesForLookup!$H$214:$Q$221</definedName>
    <definedName name="CITYHOPE_BMT_ALLO_UNREL_AD" localSheetId="3">[1]RatesForLookup!$H$204:$Q$213</definedName>
    <definedName name="CITYHOPE_BMT_ALLO_UNREL_AD">RatesForLookup!$H$204:$Q$213</definedName>
    <definedName name="CITYHOPE_BMT_AUT_ADULT" localSheetId="3">[1]RatesForLookup!$H$197:$Q$203</definedName>
    <definedName name="CITYHOPE_BMT_AUT_ADULT" localSheetId="2">[2]RatesForLookup!$H$197:$Q$203</definedName>
    <definedName name="CITYHOPE_BMT_AUT_ADULT">RatesForLookup!$H$197:$Q$203</definedName>
    <definedName name="CITYHOPE_BMT_HAPLOID_ADULT" localSheetId="3">[1]RatesForLookup!$H$222:$Q$231</definedName>
    <definedName name="CITYHOPE_BMT_HAPLOID_ADULT">RatesForLookup!$H$222:$Q$231</definedName>
    <definedName name="LPCH_ALLO_RELA_PEDS" localSheetId="3">[1]RatesForLookup!$H$241:$Q$250</definedName>
    <definedName name="LPCH_ALLO_RELA_PEDS" localSheetId="2">[2]RatesForLookup!$H$241:$Q$250</definedName>
    <definedName name="LPCH_ALLO_RELA_PEDS">RatesForLookup!$H$241:$Q$250</definedName>
    <definedName name="LPCH_ALLO_UNREL_PEDS" localSheetId="3">[1]RatesForLookup!$H$251:$Q$259</definedName>
    <definedName name="LPCH_ALLO_UNREL_PEDS" localSheetId="2">[2]RatesForLookup!$H$251:$Q$259</definedName>
    <definedName name="LPCH_ALLO_UNREL_PEDS">RatesForLookup!$H$251:$Q$259</definedName>
    <definedName name="LPCH_BMT_AUT_PEDS" localSheetId="3">[1]RatesForLookup!$H$232:$Q$240</definedName>
    <definedName name="LPCH_BMT_AUT_PEDS" localSheetId="2">[2]RatesForLookup!$H$232:$Q$240</definedName>
    <definedName name="LPCH_BMT_AUT_PEDS">RatesForLookup!$H$232:$Q$240</definedName>
    <definedName name="LPCH_CAD_Liver" localSheetId="3">[1]RatesForLookup!$H$269:$Q$275</definedName>
    <definedName name="LPCH_CAD_Liver" localSheetId="2">[2]RatesForLookup!$H$269:$Q$275</definedName>
    <definedName name="LPCH_CAD_Liver">RatesForLookup!$H$269:$Q$275</definedName>
    <definedName name="LPCH_Heart" localSheetId="3">[1]RatesForLookup!$H$283:$Q$289</definedName>
    <definedName name="LPCH_Heart" localSheetId="2">[2]RatesForLookup!$H$283:$Q$289</definedName>
    <definedName name="LPCH_Heart">RatesForLookup!$H$283:$Q$289</definedName>
    <definedName name="LPCH_Heart_Liver" localSheetId="3">[1]RatesForLookup!$H$297:$Q$303</definedName>
    <definedName name="LPCH_Heart_Liver" localSheetId="2">[2]RatesForLookup!$H$297:$Q$303</definedName>
    <definedName name="LPCH_Heart_Liver">RatesForLookup!$H$297:$Q$303</definedName>
    <definedName name="LPCH_Heart_Lung" localSheetId="3">[1]RatesForLookup!$H$290:$Q$296</definedName>
    <definedName name="LPCH_Heart_Lung" localSheetId="2">[2]RatesForLookup!$H$290:$Q$296</definedName>
    <definedName name="LPCH_Heart_Lung">RatesForLookup!$H$290:$Q$296</definedName>
    <definedName name="LPCH_IntestineCadDonor" localSheetId="3">[1]RatesForLookup!$H$311:$Q$317</definedName>
    <definedName name="LPCH_IntestineCadDonor" localSheetId="2">[2]RatesForLookup!$H$311:$Q$317</definedName>
    <definedName name="LPCH_IntestineCadDonor">RatesForLookup!$H$311:$Q$317</definedName>
    <definedName name="LPCH_Living_Liver" localSheetId="3">[1]RatesForLookup!$H$261:$Q$268</definedName>
    <definedName name="LPCH_Living_Liver" localSheetId="2">[2]RatesForLookup!$H$261:$Q$268</definedName>
    <definedName name="LPCH_Living_Liver">RatesForLookup!$H$261:$Q$268</definedName>
    <definedName name="LPCH_Multivis_CadDonor" localSheetId="3">[1]RatesForLookup!$H$304:$Q$310</definedName>
    <definedName name="LPCH_Multivis_CadDonor" localSheetId="2">[2]RatesForLookup!$H$304:$Q$310</definedName>
    <definedName name="LPCH_Multivis_CadDonor">RatesForLookup!$H$304:$Q$310</definedName>
    <definedName name="LPCH_SingleDouble_Lung" localSheetId="3">[1]RatesForLookup!$H$276:$Q$282</definedName>
    <definedName name="LPCH_SingleDouble_Lung" localSheetId="2">[2]RatesForLookup!$H$276:$Q$282</definedName>
    <definedName name="LPCH_SingleDouble_Lung">RatesForLookup!$H$276:$Q$282</definedName>
    <definedName name="LPCH_TBI_PED" localSheetId="3">[1]RatesForLookup!$H$260:$Q$260</definedName>
    <definedName name="LPCH_TBI_PED" localSheetId="2">[2]RatesForLookup!$H$260:$Q$260</definedName>
    <definedName name="LPCH_TBI_PED">RatesForLookup!$H$260:$Q$260</definedName>
    <definedName name="MAYO_BMT_ALLO_REL_ADULT" localSheetId="3">[1]RatesForLookup!$H$326:$Q$334</definedName>
    <definedName name="MAYO_BMT_ALLO_REL_ADULT" localSheetId="2">[2]RatesForLookup!$H$326:$Q$334</definedName>
    <definedName name="MAYO_BMT_ALLO_REL_ADULT">RatesForLookup!$H$326:$Q$334</definedName>
    <definedName name="MAYO_BMT_ALLO_REL_PED" localSheetId="3">[1]RatesForLookup!$H$361:$Q$369</definedName>
    <definedName name="MAYO_BMT_ALLO_REL_PED" localSheetId="2">[2]RatesForLookup!$H$361:$Q$369</definedName>
    <definedName name="MAYO_BMT_ALLO_REL_PED">RatesForLookup!$H$361:$Q$369</definedName>
    <definedName name="MAYO_BMT_ALLO_UNR_ADUL" localSheetId="3">[1]RatesForLookup!$H$344:$Q$352</definedName>
    <definedName name="MAYO_BMT_ALLO_UNR_ADUL" localSheetId="2">[2]RatesForLookup!$H$344:$Q$352</definedName>
    <definedName name="MAYO_BMT_ALLO_UNR_ADUL">RatesForLookup!$H$344:$Q$352</definedName>
    <definedName name="MAYO_BMT_ALLO_UNR_PED" localSheetId="3">[1]RatesForLookup!$H$379:$Q$389</definedName>
    <definedName name="MAYO_BMT_ALLO_UNR_PED" localSheetId="2">[2]RatesForLookup!$H$379:$Q$389</definedName>
    <definedName name="MAYO_BMT_ALLO_UNR_PED">RatesForLookup!$H$379:$Q$389</definedName>
    <definedName name="MAYO_BMT_AUT_ADULT" localSheetId="3">[1]RatesForLookup!$H$318:$Q$325</definedName>
    <definedName name="MAYO_BMT_AUT_ADULT" localSheetId="2">[2]RatesForLookup!$H$318:$Q$325</definedName>
    <definedName name="MAYO_BMT_AUT_ADULT">RatesForLookup!$H$318:$Q$325</definedName>
    <definedName name="MAYO_BMT_AUT_PED" localSheetId="3">[1]RatesForLookup!$H$353:$Q$360</definedName>
    <definedName name="MAYO_BMT_AUT_PED" localSheetId="2">[2]RatesForLookup!$H$353:$Q$360</definedName>
    <definedName name="MAYO_BMT_AUT_PED">RatesForLookup!$H$353:$Q$360</definedName>
    <definedName name="MAYO_CAD_LIVER_ADULT" localSheetId="3">[1]RatesForLookup!$H$408:$Q$413</definedName>
    <definedName name="MAYO_CAD_LIVER_ADULT" localSheetId="2">[2]RatesForLookup!$H$408:$Q$413</definedName>
    <definedName name="MAYO_CAD_LIVER_ADULT">RatesForLookup!$H$408:$Q$413</definedName>
    <definedName name="MAYO_HAPLOID_BMT_ADULT" localSheetId="3">[1]RatesForLookup!$H$335:$Q$343</definedName>
    <definedName name="MAYO_HAPLOID_BMT_ADULT" localSheetId="2">[2]RatesForLookup!$H$335:$Q$343</definedName>
    <definedName name="MAYO_HAPLOID_BMT_ADULT">RatesForLookup!$H$335:$Q$343</definedName>
    <definedName name="MAYO_HAPLOID_BMT_PED" localSheetId="3">[1]RatesForLookup!$H$370:$Q$378</definedName>
    <definedName name="MAYO_HAPLOID_BMT_PED" localSheetId="2">[2]RatesForLookup!$H$370:$Q$378</definedName>
    <definedName name="MAYO_HAPLOID_BMT_PED">RatesForLookup!$H$370:$Q$378</definedName>
    <definedName name="MAYO_KIDNEY_CADAVERIC" localSheetId="3">[1]RatesForLookup!$H$404:$Q$407</definedName>
    <definedName name="MAYO_KIDNEY_CADAVERIC" localSheetId="2">[2]RatesForLookup!$H$404:$Q$407</definedName>
    <definedName name="MAYO_KIDNEY_CADAVERIC">RatesForLookup!$H$404:$Q$407</definedName>
    <definedName name="MAYO_KIDNEY_LIVING" localSheetId="3">[1]RatesForLookup!$H$399:$Q$403</definedName>
    <definedName name="MAYO_KIDNEY_LIVING" localSheetId="2">[2]RatesForLookup!$H$399:$Q$403</definedName>
    <definedName name="MAYO_KIDNEY_LIVING">RatesForLookup!$H$399:$Q$403</definedName>
    <definedName name="MAYO_PANCREASafter_KDY" localSheetId="3">[1]RatesForLookup!$H$426:$Q$431</definedName>
    <definedName name="MAYO_PANCREASafter_KDY" localSheetId="2">[2]RatesForLookup!$H$426:$Q$431</definedName>
    <definedName name="MAYO_PANCREASafter_KDY">RatesForLookup!$H$426:$Q$431</definedName>
    <definedName name="MAYO_PHX_HEART" localSheetId="3">[1]RatesForLookup!$H$391:$Q$398</definedName>
    <definedName name="MAYO_PHX_HEART" localSheetId="2">[2]RatesForLookup!$H$391:$Q$398</definedName>
    <definedName name="MAYO_PHX_HEART">RatesForLookup!$H$391:$Q$398</definedName>
    <definedName name="MAYO_SIMU_CADV_LIV_KDY" localSheetId="3">[1]RatesForLookup!$H$414:$Q$419</definedName>
    <definedName name="MAYO_SIMU_CADV_LIV_KDY" localSheetId="2">[2]RatesForLookup!$H$414:$Q$419</definedName>
    <definedName name="MAYO_SIMU_CADV_LIV_KDY">RatesForLookup!$H$414:$Q$419</definedName>
    <definedName name="MAYO_SIMU_KDY_PANCREAS" localSheetId="3">[1]RatesForLookup!$H$420:$Q$425</definedName>
    <definedName name="MAYO_SIMU_KDY_PANCREAS" localSheetId="2">[2]RatesForLookup!$H$420:$Q$425</definedName>
    <definedName name="MAYO_SIMU_KDY_PANCREAS">RatesForLookup!$H$420:$Q$425</definedName>
    <definedName name="MAYO_TBI_ADULT_AND_PED" localSheetId="3">[1]RatesForLookup!$H$390:$Q$390</definedName>
    <definedName name="MAYO_TBI_ADULT_AND_PED" localSheetId="2">[2]RatesForLookup!$H$390:$Q$390</definedName>
    <definedName name="MAYO_TBI_ADULT_AND_PED">RatesForLookup!$H$390:$Q$390</definedName>
    <definedName name="PCH_ADULT_ALLO_UNREL" localSheetId="3">[1]RatesForLookup!$H$496:$Q$505</definedName>
    <definedName name="PCH_ADULT_ALLO_UNREL" localSheetId="2">[2]RatesForLookup!$H$496:$Q$505</definedName>
    <definedName name="PCH_ADULT_ALLO_UNREL">RatesForLookup!$H$496:$Q$505</definedName>
    <definedName name="PCH_ADULT_HAPLOID" localSheetId="3">[1]RatesForLookup!$H$486:$Q$495</definedName>
    <definedName name="PCH_ADULT_HAPLOID" localSheetId="2">[2]RatesForLookup!$H$486:$Q$495</definedName>
    <definedName name="PCH_ADULT_HAPLOID">RatesForLookup!$H$486:$Q$495</definedName>
    <definedName name="PCH_BMT_ADULT_ALLO_REL" localSheetId="3">[1]RatesForLookup!$H$476:$Q$485</definedName>
    <definedName name="PCH_BMT_ADULT_ALLO_REL" localSheetId="2">[2]RatesForLookup!$H$476:$Q$485</definedName>
    <definedName name="PCH_BMT_ADULT_ALLO_REL">RatesForLookup!$H$476:$Q$485</definedName>
    <definedName name="PCH_BMT_AUT_ADULT" localSheetId="3">[1]RatesForLookup!$H$469:$Q$475</definedName>
    <definedName name="PCH_BMT_AUT_ADULT" localSheetId="2">[2]RatesForLookup!$H$469:$Q$475</definedName>
    <definedName name="PCH_BMT_AUT_ADULT">RatesForLookup!$H$469:$Q$475</definedName>
    <definedName name="PCH_KIDNEY_CADAVERIC" localSheetId="3">[1]RatesForLookup!$H$513:$Q$516</definedName>
    <definedName name="PCH_KIDNEY_CADAVERIC" localSheetId="2">[2]RatesForLookup!$H$513:$Q$516</definedName>
    <definedName name="PCH_KIDNEY_CADAVERIC">RatesForLookup!$H$513:$Q$516</definedName>
    <definedName name="PCH_KIDNEY_LIVING" localSheetId="3">[1]RatesForLookup!$H$508:$Q$512</definedName>
    <definedName name="PCH_KIDNEY_LIVING" localSheetId="2">[2]RatesForLookup!$H$508:$Q$512</definedName>
    <definedName name="PCH_KIDNEY_LIVING">RatesForLookup!$H$508:$Q$512</definedName>
    <definedName name="PCH_PED_BMT_ALLO_RELATE" localSheetId="3">[1]RatesForLookup!$H$439:$Q$448</definedName>
    <definedName name="PCH_PED_BMT_ALLO_RELATE" localSheetId="2">[2]RatesForLookup!$H$439:$Q$448</definedName>
    <definedName name="PCH_PED_BMT_ALLO_RELATE">RatesForLookup!$H$439:$Q$448</definedName>
    <definedName name="PCH_PED_BMT_ALLO_UNREL" localSheetId="3">[1]RatesForLookup!$H$459:$Q$468</definedName>
    <definedName name="PCH_PED_BMT_ALLO_UNREL" localSheetId="2">[2]RatesForLookup!$H$459:$Q$468</definedName>
    <definedName name="PCH_PED_BMT_ALLO_UNREL">RatesForLookup!$H$459:$Q$468</definedName>
    <definedName name="PCH_PED_BMT_AUTO" localSheetId="3">[1]RatesForLookup!$H$432:$Q$438</definedName>
    <definedName name="PCH_PED_BMT_AUTO" localSheetId="2">[2]RatesForLookup!$H$432:$Q$438</definedName>
    <definedName name="PCH_PED_BMT_AUTO">RatesForLookup!$H$432:$Q$438</definedName>
    <definedName name="PCH_PED_CADAVER_LIVER" localSheetId="3">[1]RatesForLookup!$H$534:$Q$541</definedName>
    <definedName name="PCH_PED_CADAVER_LIVER" localSheetId="2">[2]RatesForLookup!$H$534:$Q$541</definedName>
    <definedName name="PCH_PED_CADAVER_LIVER">RatesForLookup!$H$534:$Q$541</definedName>
    <definedName name="PCH_PED_HAPLOID" localSheetId="3">[1]RatesForLookup!$H$449:$Q$458</definedName>
    <definedName name="PCH_PED_HAPLOID" localSheetId="2">[2]RatesForLookup!$H$449:$Q$458</definedName>
    <definedName name="PCH_PED_HAPLOID">RatesForLookup!$H$449:$Q$458</definedName>
    <definedName name="PCH_PED_LIVING_LIVER">RatesForLookup!$H$525:$Q$533</definedName>
    <definedName name="PCH_PEDIATRIC_HEART" localSheetId="3">[1]RatesForLookup!$H$517:$Q$524</definedName>
    <definedName name="PCH_PEDIATRIC_HEART" localSheetId="2">[2]RatesForLookup!$H$517:$Q$524</definedName>
    <definedName name="PCH_PEDIATRIC_HEART">RatesForLookup!$H$517:$Q$524</definedName>
    <definedName name="PCH_TBI" localSheetId="3">[1]RatesForLookup!$H$506:$Q$506</definedName>
    <definedName name="PCH_TBI" localSheetId="2">[2]RatesForLookup!$H$506:$Q$506</definedName>
    <definedName name="PCH_TBI">RatesForLookup!$H$506:$Q$506</definedName>
    <definedName name="PCH_VOD" localSheetId="3">[1]RatesForLookup!$H$507:$Q$507</definedName>
    <definedName name="PCH_VOD" localSheetId="2">[2]RatesForLookup!$H$507:$Q$507</definedName>
    <definedName name="PCH_VOD">RatesForLookup!$H$507:$Q$507</definedName>
    <definedName name="SCH_SHEA_BMT_ALLO_REL" localSheetId="3">[1]RatesForLookup!$H$549:$Q$556</definedName>
    <definedName name="SCH_SHEA_BMT_ALLO_REL" localSheetId="2">[2]RatesForLookup!$H$549:$Q$556</definedName>
    <definedName name="SCH_SHEA_BMT_ALLO_REL">RatesForLookup!$H$549:$Q$556</definedName>
    <definedName name="SCH_SHEA_BMT_ALLO_UNREL" localSheetId="3">[1]RatesForLookup!$H$565:$Q$572</definedName>
    <definedName name="SCH_SHEA_BMT_ALLO_UNREL" localSheetId="2">[2]RatesForLookup!$H$565:$Q$572</definedName>
    <definedName name="SCH_SHEA_BMT_ALLO_UNREL">RatesForLookup!$H$565:$Q$572</definedName>
    <definedName name="SCH_SHEA_BMT_AUTO" localSheetId="3">[1]RatesForLookup!$H$542:$Q$548</definedName>
    <definedName name="SCH_SHEA_BMT_AUTO" localSheetId="2">[2]RatesForLookup!$H$542:$Q$548</definedName>
    <definedName name="SCH_SHEA_BMT_AUTO">RatesForLookup!$H$542:$Q$548</definedName>
    <definedName name="SCH_SHEA_HAPLOID_BMT" localSheetId="3">[1]RatesForLookup!$H$557:$Q$564</definedName>
    <definedName name="SCH_SHEA_HAPLOID_BMT" localSheetId="2">[2]RatesForLookup!$H$557:$Q$564</definedName>
    <definedName name="SCH_SHEA_HAPLOID_BMT">RatesForLookup!$H$557:$Q$564</definedName>
    <definedName name="SCH_SHEA_TBI" localSheetId="3">[1]RatesForLookup!$H$573:$Q$573</definedName>
    <definedName name="SCH_SHEA_TBI" localSheetId="2">[2]RatesForLookup!$H$573:$Q$573</definedName>
    <definedName name="SCH_SHEA_TBI">RatesForLookup!$H$573:$Q$573</definedName>
    <definedName name="ST_JOES_SIMUL_CAD_LIV_KID" localSheetId="3">[1]RatesForLookup!$H$586:$Q$591</definedName>
    <definedName name="ST_JOES_SIMUL_CAD_LIV_KID" localSheetId="2">[2]RatesForLookup!$H$586:$Q$591</definedName>
    <definedName name="ST_JOES_SIMUL_CAD_LIV_KID">RatesForLookup!$H$586:$Q$591</definedName>
    <definedName name="ST_JOSEPHS_CAD_KIDNEY" localSheetId="3">[1]RatesForLookup!$H$598:$Q$601</definedName>
    <definedName name="ST_JOSEPHS_CAD_KIDNEY" localSheetId="2">[2]RatesForLookup!$H$598:$Q$601</definedName>
    <definedName name="ST_JOSEPHS_CAD_KIDNEY">RatesForLookup!$H$598:$Q$601</definedName>
    <definedName name="ST_JOSEPHS_CAD_LIVER_ADULT" localSheetId="3">[1]RatesForLookup!$H$592:$Q$597</definedName>
    <definedName name="ST_JOSEPHS_CAD_LIVER_ADULT" localSheetId="2">[2]RatesForLookup!$H$592:$Q$597</definedName>
    <definedName name="ST_JOSEPHS_CAD_LIVER_ADULT">RatesForLookup!$H$592:$Q$597</definedName>
    <definedName name="ST_JOSEPHS_DOUBLE_LUNG" localSheetId="3">[1]RatesForLookup!$H$580:$Q$585</definedName>
    <definedName name="ST_JOSEPHS_DOUBLE_LUNG" localSheetId="2">[2]RatesForLookup!$H$580:$Q$585</definedName>
    <definedName name="ST_JOSEPHS_DOUBLE_LUNG">RatesForLookup!$H$580:$Q$585</definedName>
    <definedName name="ST_JOSEPHS_LIVING_KDY" localSheetId="3">[1]RatesForLookup!$H$602:$Q$606</definedName>
    <definedName name="ST_JOSEPHS_LIVING_KDY" localSheetId="2">[2]RatesForLookup!$H$602:$Q$606</definedName>
    <definedName name="ST_JOSEPHS_LIVING_KDY">RatesForLookup!$H$602:$Q$606</definedName>
    <definedName name="ST_JOSEPHS_SINGLE_LUNG" localSheetId="3">[1]RatesForLookup!$H$574:$Q$579</definedName>
    <definedName name="ST_JOSEPHS_SINGLE_LUNG" localSheetId="2">[2]RatesForLookup!$H$574:$Q$579</definedName>
    <definedName name="ST_JOSEPHS_SINGLE_LUNG">RatesForLookup!$H$574:$Q$579</definedName>
    <definedName name="STANFORD_HEART" localSheetId="3">[1]RatesForLookup!$H$607:$Q$614</definedName>
    <definedName name="STANFORD_HEART" localSheetId="2">[2]RatesForLookup!$H$607:$Q$614</definedName>
    <definedName name="STANFORD_HEART">RatesForLookup!$H$607:$Q$614</definedName>
    <definedName name="STANFORD_Heart_Lung" localSheetId="3">[1]RatesForLookup!$H$623:$Q$629</definedName>
    <definedName name="STANFORD_Heart_Lung" localSheetId="2">[2]RatesForLookup!$H$623:$Q$629</definedName>
    <definedName name="STANFORD_Heart_Lung">RatesForLookup!$H$623:$Q$629</definedName>
    <definedName name="STANFORD_SINGLE_DOUBL_LUNG" localSheetId="3">[1]RatesForLookup!$H$615:$Q$622</definedName>
    <definedName name="STANFORD_SINGLE_DOUBL_LUNG" localSheetId="2">[2]RatesForLookup!$H$615:$Q$622</definedName>
    <definedName name="STANFORD_SINGLE_DOUBL_LUNG">RatesForLookup!$H$615:$Q$622</definedName>
    <definedName name="UCSF_PED_ALLO_REL_SCIDS" localSheetId="3">[1]RatesForLookup!$H$641:$Q$651</definedName>
    <definedName name="UCSF_PED_ALLO_REL_SCIDS" localSheetId="2">[2]RatesForLookup!$H$641:$Q$651</definedName>
    <definedName name="UCSF_PED_ALLO_REL_SCIDS">RatesForLookup!$H$641:$Q$651</definedName>
    <definedName name="UCSF_PED_ALLO_UNR_MUDSCID" localSheetId="3">[1]RatesForLookup!$H$630:$Q$640</definedName>
    <definedName name="UCSF_PED_ALLO_UNR_MUDSCID" localSheetId="2">[2]RatesForLookup!$H$630:$Q$640</definedName>
    <definedName name="UCSF_PED_ALLO_UNR_MUDSCID">RatesForLookup!$H$630:$Q$640</definedName>
    <definedName name="UCSF_PED_AUT_MUDSCID" localSheetId="3">[1]RatesForLookup!$H$652:$Q$661</definedName>
    <definedName name="UCSF_PED_AUT_MUDSCID" localSheetId="2">[2]RatesForLookup!$H$652:$Q$661</definedName>
    <definedName name="UCSF_PED_AUT_MUDSCID">RatesForLookup!$H$652:$Q$661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59" i="197" l="1"/>
  <c r="P649" i="197"/>
  <c r="P638" i="197"/>
  <c r="P606" i="197"/>
  <c r="P601" i="197"/>
  <c r="P597" i="197"/>
  <c r="P591" i="197"/>
  <c r="P585" i="197"/>
  <c r="P579" i="197"/>
  <c r="P572" i="197"/>
  <c r="P564" i="197"/>
  <c r="P556" i="197"/>
  <c r="P548" i="197"/>
  <c r="P539" i="197"/>
  <c r="P522" i="197"/>
  <c r="P516" i="197"/>
  <c r="P512" i="197"/>
  <c r="P503" i="197"/>
  <c r="P493" i="197"/>
  <c r="P483" i="197"/>
  <c r="P475" i="197"/>
  <c r="P466" i="197"/>
  <c r="P456" i="197"/>
  <c r="P446" i="197"/>
  <c r="P438" i="197"/>
  <c r="P431" i="197"/>
  <c r="P425" i="197"/>
  <c r="P419" i="197"/>
  <c r="P413" i="197"/>
  <c r="P407" i="197"/>
  <c r="P403" i="197"/>
  <c r="P396" i="197"/>
  <c r="P387" i="197"/>
  <c r="P378" i="197"/>
  <c r="P369" i="197"/>
  <c r="P360" i="197"/>
  <c r="P352" i="197"/>
  <c r="P343" i="197"/>
  <c r="P334" i="197"/>
  <c r="P325" i="197"/>
  <c r="P229" i="197"/>
  <c r="P221" i="197"/>
  <c r="P211" i="197"/>
  <c r="P203" i="197"/>
  <c r="P172" i="197"/>
  <c r="P166" i="197"/>
  <c r="P160" i="197"/>
  <c r="P156" i="197"/>
  <c r="P148" i="197"/>
  <c r="P138" i="197"/>
  <c r="P130" i="197"/>
  <c r="P122" i="197"/>
  <c r="P113" i="197"/>
  <c r="P103" i="197"/>
  <c r="P95" i="197"/>
  <c r="P87" i="197"/>
  <c r="P80" i="197"/>
  <c r="P74" i="197"/>
  <c r="P68" i="197"/>
  <c r="P62" i="197"/>
  <c r="P56" i="197"/>
  <c r="P51" i="197"/>
  <c r="P45" i="197"/>
  <c r="P36" i="197"/>
  <c r="P26" i="197"/>
  <c r="P18" i="197"/>
  <c r="P10" i="197"/>
  <c r="C248" i="213" l="1"/>
  <c r="B196" i="197"/>
  <c r="B195" i="197"/>
  <c r="B194" i="197"/>
  <c r="B193" i="197"/>
  <c r="B192" i="197"/>
  <c r="B191" i="197"/>
  <c r="B190" i="197"/>
  <c r="B189" i="197"/>
  <c r="B188" i="197"/>
  <c r="B187" i="197"/>
  <c r="B186" i="197"/>
  <c r="B185" i="197"/>
  <c r="B184" i="197"/>
  <c r="B183" i="197"/>
  <c r="B182" i="197"/>
  <c r="B181" i="197"/>
  <c r="B180" i="197"/>
  <c r="B179" i="197"/>
  <c r="B178" i="197"/>
  <c r="B177" i="197"/>
  <c r="B176" i="197"/>
  <c r="B175" i="197"/>
  <c r="B174" i="197"/>
  <c r="A173" i="197"/>
  <c r="A174" i="197"/>
  <c r="A175" i="197"/>
  <c r="A176" i="197"/>
  <c r="A177" i="197"/>
  <c r="A178" i="197"/>
  <c r="A179" i="197"/>
  <c r="A180" i="197"/>
  <c r="A181" i="197"/>
  <c r="A182" i="197"/>
  <c r="A183" i="197"/>
  <c r="A184" i="197"/>
  <c r="A185" i="197"/>
  <c r="A186" i="197"/>
  <c r="A187" i="197"/>
  <c r="A188" i="197"/>
  <c r="A189" i="197"/>
  <c r="A190" i="197"/>
  <c r="A191" i="197"/>
  <c r="A192" i="197"/>
  <c r="A193" i="197"/>
  <c r="A194" i="197"/>
  <c r="A195" i="197"/>
  <c r="A196" i="197"/>
  <c r="G661" i="197" l="1"/>
  <c r="G660" i="197"/>
  <c r="G659" i="197"/>
  <c r="G658" i="197"/>
  <c r="G657" i="197"/>
  <c r="G656" i="197"/>
  <c r="G655" i="197"/>
  <c r="G654" i="197"/>
  <c r="G653" i="197"/>
  <c r="G652" i="197"/>
  <c r="G651" i="197"/>
  <c r="G650" i="197"/>
  <c r="G649" i="197"/>
  <c r="G648" i="197"/>
  <c r="G647" i="197"/>
  <c r="G646" i="197"/>
  <c r="G645" i="197"/>
  <c r="G644" i="197"/>
  <c r="G643" i="197"/>
  <c r="G642" i="197"/>
  <c r="G641" i="197"/>
  <c r="G640" i="197"/>
  <c r="G639" i="197"/>
  <c r="G638" i="197"/>
  <c r="G637" i="197"/>
  <c r="G636" i="197"/>
  <c r="G635" i="197"/>
  <c r="G634" i="197"/>
  <c r="G633" i="197"/>
  <c r="G632" i="197"/>
  <c r="G631" i="197"/>
  <c r="G630" i="197"/>
  <c r="G629" i="197"/>
  <c r="G628" i="197"/>
  <c r="G627" i="197"/>
  <c r="G626" i="197"/>
  <c r="G625" i="197"/>
  <c r="G624" i="197"/>
  <c r="G623" i="197"/>
  <c r="G622" i="197"/>
  <c r="G621" i="197"/>
  <c r="G620" i="197"/>
  <c r="G619" i="197"/>
  <c r="G618" i="197"/>
  <c r="G617" i="197"/>
  <c r="G616" i="197"/>
  <c r="G615" i="197"/>
  <c r="G614" i="197"/>
  <c r="G613" i="197"/>
  <c r="G612" i="197"/>
  <c r="G611" i="197"/>
  <c r="G610" i="197"/>
  <c r="G609" i="197"/>
  <c r="G608" i="197"/>
  <c r="G607" i="197"/>
  <c r="G606" i="197"/>
  <c r="G605" i="197"/>
  <c r="G604" i="197"/>
  <c r="G603" i="197"/>
  <c r="G602" i="197"/>
  <c r="G601" i="197"/>
  <c r="G600" i="197"/>
  <c r="G599" i="197"/>
  <c r="G598" i="197"/>
  <c r="G597" i="197"/>
  <c r="G596" i="197"/>
  <c r="G595" i="197"/>
  <c r="G594" i="197"/>
  <c r="G593" i="197"/>
  <c r="G592" i="197"/>
  <c r="G591" i="197"/>
  <c r="G590" i="197"/>
  <c r="G589" i="197"/>
  <c r="G588" i="197"/>
  <c r="G587" i="197"/>
  <c r="G586" i="197"/>
  <c r="G585" i="197"/>
  <c r="G584" i="197"/>
  <c r="G583" i="197"/>
  <c r="G582" i="197"/>
  <c r="G581" i="197"/>
  <c r="G580" i="197"/>
  <c r="G579" i="197"/>
  <c r="G578" i="197"/>
  <c r="G577" i="197"/>
  <c r="G576" i="197"/>
  <c r="G575" i="197"/>
  <c r="G574" i="197"/>
  <c r="G573" i="197"/>
  <c r="G572" i="197"/>
  <c r="G571" i="197"/>
  <c r="G570" i="197"/>
  <c r="G569" i="197"/>
  <c r="G568" i="197"/>
  <c r="G567" i="197"/>
  <c r="G566" i="197"/>
  <c r="G565" i="197"/>
  <c r="G564" i="197"/>
  <c r="G563" i="197"/>
  <c r="G562" i="197"/>
  <c r="G561" i="197"/>
  <c r="G560" i="197"/>
  <c r="G559" i="197"/>
  <c r="G558" i="197"/>
  <c r="G557" i="197"/>
  <c r="G556" i="197"/>
  <c r="G555" i="197"/>
  <c r="G554" i="197"/>
  <c r="G553" i="197"/>
  <c r="G552" i="197"/>
  <c r="G551" i="197"/>
  <c r="G550" i="197"/>
  <c r="G549" i="197"/>
  <c r="G548" i="197"/>
  <c r="G547" i="197"/>
  <c r="G546" i="197"/>
  <c r="G545" i="197"/>
  <c r="G544" i="197"/>
  <c r="G543" i="197"/>
  <c r="G542" i="197"/>
  <c r="G541" i="197"/>
  <c r="G540" i="197"/>
  <c r="G539" i="197"/>
  <c r="G538" i="197"/>
  <c r="G537" i="197"/>
  <c r="G536" i="197"/>
  <c r="G535" i="197"/>
  <c r="G534" i="197"/>
  <c r="G533" i="197"/>
  <c r="G532" i="197"/>
  <c r="G531" i="197"/>
  <c r="G530" i="197"/>
  <c r="G529" i="197"/>
  <c r="G528" i="197"/>
  <c r="G527" i="197"/>
  <c r="G526" i="197"/>
  <c r="G525" i="197"/>
  <c r="G524" i="197"/>
  <c r="G523" i="197"/>
  <c r="G522" i="197"/>
  <c r="G521" i="197"/>
  <c r="G520" i="197"/>
  <c r="G519" i="197"/>
  <c r="G518" i="197"/>
  <c r="G517" i="197"/>
  <c r="G516" i="197"/>
  <c r="G515" i="197"/>
  <c r="G514" i="197"/>
  <c r="G513" i="197"/>
  <c r="G512" i="197"/>
  <c r="G511" i="197"/>
  <c r="G510" i="197"/>
  <c r="G509" i="197"/>
  <c r="G508" i="197"/>
  <c r="G507" i="197"/>
  <c r="G506" i="197"/>
  <c r="G505" i="197"/>
  <c r="G504" i="197"/>
  <c r="G503" i="197"/>
  <c r="G502" i="197"/>
  <c r="G501" i="197"/>
  <c r="G500" i="197"/>
  <c r="G499" i="197"/>
  <c r="G498" i="197"/>
  <c r="G497" i="197"/>
  <c r="G496" i="197"/>
  <c r="G495" i="197"/>
  <c r="G494" i="197"/>
  <c r="G493" i="197"/>
  <c r="G492" i="197"/>
  <c r="G491" i="197"/>
  <c r="G490" i="197"/>
  <c r="G489" i="197"/>
  <c r="G488" i="197"/>
  <c r="G487" i="197"/>
  <c r="G486" i="197"/>
  <c r="G485" i="197"/>
  <c r="G484" i="197"/>
  <c r="G483" i="197"/>
  <c r="G482" i="197"/>
  <c r="G481" i="197"/>
  <c r="G480" i="197"/>
  <c r="G479" i="197"/>
  <c r="G478" i="197"/>
  <c r="G477" i="197"/>
  <c r="G476" i="197"/>
  <c r="G475" i="197"/>
  <c r="G474" i="197"/>
  <c r="G473" i="197"/>
  <c r="G472" i="197"/>
  <c r="G471" i="197"/>
  <c r="G470" i="197"/>
  <c r="G469" i="197"/>
  <c r="G468" i="197"/>
  <c r="G467" i="197"/>
  <c r="G466" i="197"/>
  <c r="G465" i="197"/>
  <c r="G464" i="197"/>
  <c r="G463" i="197"/>
  <c r="G462" i="197"/>
  <c r="G461" i="197"/>
  <c r="G460" i="197"/>
  <c r="G459" i="197"/>
  <c r="G458" i="197"/>
  <c r="G457" i="197"/>
  <c r="G456" i="197"/>
  <c r="G455" i="197"/>
  <c r="G454" i="197"/>
  <c r="G453" i="197"/>
  <c r="G452" i="197"/>
  <c r="G451" i="197"/>
  <c r="G450" i="197"/>
  <c r="G449" i="197"/>
  <c r="G448" i="197"/>
  <c r="G447" i="197"/>
  <c r="G446" i="197"/>
  <c r="G445" i="197"/>
  <c r="G444" i="197"/>
  <c r="G443" i="197"/>
  <c r="G442" i="197"/>
  <c r="G441" i="197"/>
  <c r="G440" i="197"/>
  <c r="G439" i="197"/>
  <c r="G438" i="197"/>
  <c r="G437" i="197"/>
  <c r="G436" i="197"/>
  <c r="G435" i="197"/>
  <c r="G434" i="197"/>
  <c r="G433" i="197"/>
  <c r="G432" i="197"/>
  <c r="G431" i="197"/>
  <c r="G430" i="197"/>
  <c r="G429" i="197"/>
  <c r="G428" i="197"/>
  <c r="G427" i="197"/>
  <c r="G426" i="197"/>
  <c r="G425" i="197"/>
  <c r="G424" i="197"/>
  <c r="G423" i="197"/>
  <c r="G422" i="197"/>
  <c r="G421" i="197"/>
  <c r="G420" i="197"/>
  <c r="G419" i="197"/>
  <c r="G418" i="197"/>
  <c r="G417" i="197"/>
  <c r="G416" i="197"/>
  <c r="G415" i="197"/>
  <c r="G414" i="197"/>
  <c r="G413" i="197"/>
  <c r="G412" i="197"/>
  <c r="G411" i="197"/>
  <c r="G410" i="197"/>
  <c r="G409" i="197"/>
  <c r="G408" i="197"/>
  <c r="G407" i="197"/>
  <c r="G406" i="197"/>
  <c r="G405" i="197"/>
  <c r="G404" i="197"/>
  <c r="G403" i="197"/>
  <c r="G402" i="197"/>
  <c r="G401" i="197"/>
  <c r="G400" i="197"/>
  <c r="G399" i="197"/>
  <c r="G398" i="197"/>
  <c r="G397" i="197"/>
  <c r="G396" i="197"/>
  <c r="G395" i="197"/>
  <c r="G394" i="197"/>
  <c r="G393" i="197"/>
  <c r="G392" i="197"/>
  <c r="G391" i="197"/>
  <c r="G390" i="197"/>
  <c r="G389" i="197"/>
  <c r="G388" i="197"/>
  <c r="G387" i="197"/>
  <c r="G386" i="197"/>
  <c r="G385" i="197"/>
  <c r="G384" i="197"/>
  <c r="G383" i="197"/>
  <c r="G382" i="197"/>
  <c r="G381" i="197"/>
  <c r="G380" i="197"/>
  <c r="G379" i="197"/>
  <c r="G378" i="197"/>
  <c r="G377" i="197"/>
  <c r="G376" i="197"/>
  <c r="G375" i="197"/>
  <c r="G374" i="197"/>
  <c r="G373" i="197"/>
  <c r="G372" i="197"/>
  <c r="G371" i="197"/>
  <c r="G370" i="197"/>
  <c r="G369" i="197"/>
  <c r="G368" i="197"/>
  <c r="G367" i="197"/>
  <c r="G366" i="197"/>
  <c r="G365" i="197"/>
  <c r="G364" i="197"/>
  <c r="G363" i="197"/>
  <c r="G362" i="197"/>
  <c r="G361" i="197"/>
  <c r="G360" i="197"/>
  <c r="G359" i="197"/>
  <c r="G358" i="197"/>
  <c r="G357" i="197"/>
  <c r="G356" i="197"/>
  <c r="G355" i="197"/>
  <c r="G354" i="197"/>
  <c r="G353" i="197"/>
  <c r="G352" i="197"/>
  <c r="G351" i="197"/>
  <c r="G350" i="197"/>
  <c r="G349" i="197"/>
  <c r="G348" i="197"/>
  <c r="G347" i="197"/>
  <c r="G346" i="197"/>
  <c r="G345" i="197"/>
  <c r="G344" i="197"/>
  <c r="G343" i="197"/>
  <c r="G342" i="197"/>
  <c r="G341" i="197"/>
  <c r="G340" i="197"/>
  <c r="G339" i="197"/>
  <c r="G338" i="197"/>
  <c r="G337" i="197"/>
  <c r="G336" i="197"/>
  <c r="G335" i="197"/>
  <c r="G334" i="197"/>
  <c r="G333" i="197"/>
  <c r="G332" i="197"/>
  <c r="G331" i="197"/>
  <c r="G330" i="197"/>
  <c r="G329" i="197"/>
  <c r="G328" i="197"/>
  <c r="G327" i="197"/>
  <c r="G326" i="197"/>
  <c r="G325" i="197"/>
  <c r="G324" i="197"/>
  <c r="G323" i="197"/>
  <c r="G322" i="197"/>
  <c r="G321" i="197"/>
  <c r="G320" i="197"/>
  <c r="G319" i="197"/>
  <c r="G318" i="197"/>
  <c r="G317" i="197"/>
  <c r="G316" i="197"/>
  <c r="G315" i="197"/>
  <c r="G314" i="197"/>
  <c r="G313" i="197"/>
  <c r="G312" i="197"/>
  <c r="G311" i="197"/>
  <c r="G310" i="197"/>
  <c r="G309" i="197"/>
  <c r="G308" i="197"/>
  <c r="G307" i="197"/>
  <c r="G306" i="197"/>
  <c r="G305" i="197"/>
  <c r="G304" i="197"/>
  <c r="G303" i="197"/>
  <c r="G302" i="197"/>
  <c r="G301" i="197"/>
  <c r="G300" i="197"/>
  <c r="G299" i="197"/>
  <c r="G298" i="197"/>
  <c r="G297" i="197"/>
  <c r="G296" i="197"/>
  <c r="G295" i="197"/>
  <c r="G294" i="197"/>
  <c r="G293" i="197"/>
  <c r="G292" i="197"/>
  <c r="G291" i="197"/>
  <c r="G290" i="197"/>
  <c r="G289" i="197"/>
  <c r="G288" i="197"/>
  <c r="G287" i="197"/>
  <c r="G286" i="197"/>
  <c r="G285" i="197"/>
  <c r="G284" i="197"/>
  <c r="G283" i="197"/>
  <c r="G282" i="197"/>
  <c r="G281" i="197"/>
  <c r="G280" i="197"/>
  <c r="G279" i="197"/>
  <c r="G278" i="197"/>
  <c r="G277" i="197"/>
  <c r="G276" i="197"/>
  <c r="G275" i="197"/>
  <c r="G274" i="197"/>
  <c r="G273" i="197"/>
  <c r="G272" i="197"/>
  <c r="G271" i="197"/>
  <c r="G270" i="197"/>
  <c r="G269" i="197"/>
  <c r="G268" i="197"/>
  <c r="G267" i="197"/>
  <c r="G266" i="197"/>
  <c r="G265" i="197"/>
  <c r="G264" i="197"/>
  <c r="G263" i="197"/>
  <c r="G262" i="197"/>
  <c r="G261" i="197"/>
  <c r="G260" i="197"/>
  <c r="G259" i="197"/>
  <c r="G258" i="197"/>
  <c r="G257" i="197"/>
  <c r="G256" i="197"/>
  <c r="G255" i="197"/>
  <c r="G254" i="197"/>
  <c r="G253" i="197"/>
  <c r="G252" i="197"/>
  <c r="G251" i="197"/>
  <c r="G250" i="197"/>
  <c r="G249" i="197"/>
  <c r="G248" i="197"/>
  <c r="G247" i="197"/>
  <c r="G246" i="197"/>
  <c r="G245" i="197"/>
  <c r="G244" i="197"/>
  <c r="G243" i="197"/>
  <c r="G242" i="197"/>
  <c r="G241" i="197"/>
  <c r="G240" i="197"/>
  <c r="G239" i="197"/>
  <c r="G238" i="197"/>
  <c r="G237" i="197"/>
  <c r="G236" i="197"/>
  <c r="G235" i="197"/>
  <c r="G234" i="197"/>
  <c r="G233" i="197"/>
  <c r="G232" i="197"/>
  <c r="G231" i="197"/>
  <c r="G230" i="197"/>
  <c r="G229" i="197"/>
  <c r="G228" i="197"/>
  <c r="G227" i="197"/>
  <c r="G226" i="197"/>
  <c r="G225" i="197"/>
  <c r="G224" i="197"/>
  <c r="G223" i="197"/>
  <c r="G222" i="197"/>
  <c r="G221" i="197"/>
  <c r="G220" i="197"/>
  <c r="G219" i="197"/>
  <c r="G218" i="197"/>
  <c r="G217" i="197"/>
  <c r="G216" i="197"/>
  <c r="G215" i="197"/>
  <c r="G214" i="197"/>
  <c r="G213" i="197"/>
  <c r="G212" i="197"/>
  <c r="G211" i="197"/>
  <c r="G210" i="197"/>
  <c r="G209" i="197"/>
  <c r="G208" i="197"/>
  <c r="G207" i="197"/>
  <c r="G206" i="197"/>
  <c r="G205" i="197"/>
  <c r="G204" i="197"/>
  <c r="G203" i="197"/>
  <c r="G202" i="197"/>
  <c r="G201" i="197"/>
  <c r="G200" i="197"/>
  <c r="G199" i="197"/>
  <c r="G198" i="197"/>
  <c r="G197" i="197"/>
  <c r="G196" i="197"/>
  <c r="G195" i="197"/>
  <c r="G194" i="197"/>
  <c r="G193" i="197"/>
  <c r="G192" i="197"/>
  <c r="G191" i="197"/>
  <c r="G190" i="197"/>
  <c r="G189" i="197"/>
  <c r="G188" i="197"/>
  <c r="G187" i="197"/>
  <c r="G186" i="197"/>
  <c r="G185" i="197"/>
  <c r="G184" i="197"/>
  <c r="G183" i="197"/>
  <c r="G182" i="197"/>
  <c r="G181" i="197"/>
  <c r="G180" i="197"/>
  <c r="G179" i="197"/>
  <c r="G178" i="197"/>
  <c r="G177" i="197"/>
  <c r="G176" i="197"/>
  <c r="G175" i="197"/>
  <c r="G174" i="197"/>
  <c r="G173" i="197"/>
  <c r="G172" i="197"/>
  <c r="G171" i="197"/>
  <c r="G170" i="197"/>
  <c r="G169" i="197"/>
  <c r="G168" i="197"/>
  <c r="G167" i="197"/>
  <c r="G166" i="197"/>
  <c r="G165" i="197"/>
  <c r="G164" i="197"/>
  <c r="G163" i="197"/>
  <c r="G162" i="197"/>
  <c r="G161" i="197"/>
  <c r="G160" i="197"/>
  <c r="G159" i="197"/>
  <c r="G158" i="197"/>
  <c r="G157" i="197"/>
  <c r="G156" i="197"/>
  <c r="G155" i="197"/>
  <c r="G154" i="197"/>
  <c r="G153" i="197"/>
  <c r="G152" i="197"/>
  <c r="G151" i="197"/>
  <c r="G150" i="197"/>
  <c r="G149" i="197"/>
  <c r="G148" i="197"/>
  <c r="G147" i="197"/>
  <c r="G146" i="197"/>
  <c r="G145" i="197"/>
  <c r="G144" i="197"/>
  <c r="G143" i="197"/>
  <c r="G142" i="197"/>
  <c r="G141" i="197"/>
  <c r="G140" i="197"/>
  <c r="G139" i="197"/>
  <c r="G138" i="197"/>
  <c r="G137" i="197"/>
  <c r="G136" i="197"/>
  <c r="G135" i="197"/>
  <c r="G134" i="197"/>
  <c r="G133" i="197"/>
  <c r="G132" i="197"/>
  <c r="G131" i="197"/>
  <c r="G130" i="197"/>
  <c r="G129" i="197"/>
  <c r="G128" i="197"/>
  <c r="G127" i="197"/>
  <c r="G126" i="197"/>
  <c r="G125" i="197"/>
  <c r="G124" i="197"/>
  <c r="G123" i="197"/>
  <c r="G122" i="197"/>
  <c r="G121" i="197"/>
  <c r="G120" i="197"/>
  <c r="G119" i="197"/>
  <c r="G118" i="197"/>
  <c r="G117" i="197"/>
  <c r="G116" i="197"/>
  <c r="G115" i="197"/>
  <c r="G114" i="197"/>
  <c r="G113" i="197"/>
  <c r="G112" i="197"/>
  <c r="G111" i="197"/>
  <c r="G110" i="197"/>
  <c r="G109" i="197"/>
  <c r="G108" i="197"/>
  <c r="G107" i="197"/>
  <c r="G106" i="197"/>
  <c r="G105" i="197"/>
  <c r="G104" i="197"/>
  <c r="G103" i="197"/>
  <c r="G102" i="197"/>
  <c r="G101" i="197"/>
  <c r="G100" i="197"/>
  <c r="G99" i="197"/>
  <c r="G98" i="197"/>
  <c r="G97" i="197"/>
  <c r="G96" i="197"/>
  <c r="G95" i="197"/>
  <c r="G94" i="197"/>
  <c r="G93" i="197"/>
  <c r="G92" i="197"/>
  <c r="G91" i="197"/>
  <c r="G90" i="197"/>
  <c r="G89" i="197"/>
  <c r="G88" i="197"/>
  <c r="G87" i="197"/>
  <c r="G86" i="197"/>
  <c r="G85" i="197"/>
  <c r="G84" i="197"/>
  <c r="G83" i="197"/>
  <c r="G82" i="197"/>
  <c r="G81" i="197"/>
  <c r="G80" i="197"/>
  <c r="G79" i="197"/>
  <c r="G78" i="197"/>
  <c r="G77" i="197"/>
  <c r="G76" i="197"/>
  <c r="G75" i="197"/>
  <c r="G74" i="197"/>
  <c r="G73" i="197"/>
  <c r="G72" i="197"/>
  <c r="G71" i="197"/>
  <c r="G70" i="197"/>
  <c r="G69" i="197"/>
  <c r="G68" i="197"/>
  <c r="G67" i="197"/>
  <c r="G66" i="197"/>
  <c r="G65" i="197"/>
  <c r="G64" i="197"/>
  <c r="G63" i="197"/>
  <c r="G62" i="197"/>
  <c r="G61" i="197"/>
  <c r="G60" i="197"/>
  <c r="G59" i="197"/>
  <c r="G58" i="197"/>
  <c r="G57" i="197"/>
  <c r="G56" i="197"/>
  <c r="G55" i="197"/>
  <c r="G54" i="197"/>
  <c r="G53" i="197"/>
  <c r="G52" i="197"/>
  <c r="G51" i="197"/>
  <c r="G50" i="197"/>
  <c r="G49" i="197"/>
  <c r="G48" i="197"/>
  <c r="G47" i="197"/>
  <c r="G46" i="197"/>
  <c r="G45" i="197"/>
  <c r="G44" i="197"/>
  <c r="G43" i="197"/>
  <c r="G42" i="197"/>
  <c r="G41" i="197"/>
  <c r="G40" i="197"/>
  <c r="G39" i="197"/>
  <c r="G38" i="197"/>
  <c r="G37" i="197"/>
  <c r="G36" i="197"/>
  <c r="G35" i="197"/>
  <c r="G34" i="197"/>
  <c r="G33" i="197"/>
  <c r="G32" i="197"/>
  <c r="G31" i="197"/>
  <c r="G30" i="197"/>
  <c r="G29" i="197"/>
  <c r="G28" i="197"/>
  <c r="G27" i="197"/>
  <c r="G26" i="197"/>
  <c r="G25" i="197"/>
  <c r="G24" i="197"/>
  <c r="G23" i="197"/>
  <c r="G22" i="197"/>
  <c r="G21" i="197"/>
  <c r="G20" i="197"/>
  <c r="G19" i="197"/>
  <c r="G18" i="197"/>
  <c r="G17" i="197"/>
  <c r="G16" i="197"/>
  <c r="G15" i="197"/>
  <c r="G14" i="197"/>
  <c r="G13" i="197"/>
  <c r="G12" i="197"/>
  <c r="G11" i="197"/>
  <c r="G10" i="197"/>
  <c r="G9" i="197"/>
  <c r="G8" i="197"/>
  <c r="G7" i="197"/>
  <c r="G6" i="197"/>
  <c r="G5" i="197"/>
  <c r="G4" i="197"/>
  <c r="P231" i="197" l="1"/>
  <c r="D23" i="206" s="1"/>
  <c r="D19" i="206"/>
  <c r="P230" i="197"/>
  <c r="D22" i="206" s="1"/>
  <c r="P228" i="197"/>
  <c r="D18" i="206" s="1"/>
  <c r="P227" i="197"/>
  <c r="D15" i="206" s="1"/>
  <c r="P226" i="197"/>
  <c r="D14" i="206" s="1"/>
  <c r="P225" i="197"/>
  <c r="D13" i="206" s="1"/>
  <c r="P224" i="197"/>
  <c r="D12" i="206" s="1"/>
  <c r="P223" i="197"/>
  <c r="D11" i="206" s="1"/>
  <c r="P222" i="197"/>
  <c r="D10" i="206" s="1"/>
  <c r="D19" i="205"/>
  <c r="P220" i="197"/>
  <c r="D18" i="205" s="1"/>
  <c r="P219" i="197"/>
  <c r="D15" i="205" s="1"/>
  <c r="P218" i="197"/>
  <c r="D14" i="205" s="1"/>
  <c r="P217" i="197"/>
  <c r="D13" i="205" s="1"/>
  <c r="P216" i="197"/>
  <c r="D12" i="205" s="1"/>
  <c r="P215" i="197"/>
  <c r="D11" i="205" s="1"/>
  <c r="P214" i="197"/>
  <c r="D10" i="205" s="1"/>
  <c r="P213" i="197"/>
  <c r="D23" i="204" s="1"/>
  <c r="P206" i="197"/>
  <c r="D12" i="204" s="1"/>
  <c r="D19" i="204"/>
  <c r="P212" i="197"/>
  <c r="D22" i="204" s="1"/>
  <c r="P210" i="197"/>
  <c r="D18" i="204" s="1"/>
  <c r="P209" i="197"/>
  <c r="D15" i="204" s="1"/>
  <c r="P208" i="197"/>
  <c r="D14" i="204" s="1"/>
  <c r="P207" i="197"/>
  <c r="D13" i="204" s="1"/>
  <c r="P205" i="197"/>
  <c r="D11" i="204" s="1"/>
  <c r="P204" i="197"/>
  <c r="D10" i="204" s="1"/>
  <c r="P661" i="197"/>
  <c r="P660" i="197"/>
  <c r="P658" i="197"/>
  <c r="P657" i="197"/>
  <c r="P656" i="197"/>
  <c r="P655" i="197"/>
  <c r="P654" i="197"/>
  <c r="P653" i="197"/>
  <c r="P652" i="197"/>
  <c r="P651" i="197"/>
  <c r="P650" i="197"/>
  <c r="P648" i="197"/>
  <c r="P647" i="197"/>
  <c r="P646" i="197"/>
  <c r="P645" i="197"/>
  <c r="P644" i="197"/>
  <c r="P643" i="197"/>
  <c r="P642" i="197"/>
  <c r="P641" i="197"/>
  <c r="P640" i="197"/>
  <c r="P639" i="197"/>
  <c r="P637" i="197"/>
  <c r="P636" i="197"/>
  <c r="P635" i="197"/>
  <c r="P634" i="197"/>
  <c r="P633" i="197"/>
  <c r="P632" i="197"/>
  <c r="P631" i="197"/>
  <c r="P630" i="197"/>
  <c r="P629" i="197"/>
  <c r="P628" i="197"/>
  <c r="P627" i="197"/>
  <c r="P626" i="197"/>
  <c r="P625" i="197"/>
  <c r="P624" i="197"/>
  <c r="P623" i="197"/>
  <c r="P622" i="197"/>
  <c r="P621" i="197"/>
  <c r="P620" i="197"/>
  <c r="P619" i="197"/>
  <c r="P618" i="197"/>
  <c r="P617" i="197"/>
  <c r="P616" i="197"/>
  <c r="P615" i="197"/>
  <c r="P614" i="197"/>
  <c r="P613" i="197"/>
  <c r="P612" i="197"/>
  <c r="P611" i="197"/>
  <c r="P610" i="197"/>
  <c r="P609" i="197"/>
  <c r="P608" i="197"/>
  <c r="P607" i="197"/>
  <c r="P605" i="197"/>
  <c r="P604" i="197"/>
  <c r="P603" i="197"/>
  <c r="P602" i="197"/>
  <c r="P600" i="197"/>
  <c r="P599" i="197"/>
  <c r="P598" i="197"/>
  <c r="P596" i="197"/>
  <c r="P595" i="197"/>
  <c r="P594" i="197"/>
  <c r="P593" i="197"/>
  <c r="P592" i="197"/>
  <c r="P590" i="197"/>
  <c r="P589" i="197"/>
  <c r="P588" i="197"/>
  <c r="P587" i="197"/>
  <c r="P586" i="197"/>
  <c r="P584" i="197"/>
  <c r="P583" i="197"/>
  <c r="P582" i="197"/>
  <c r="P581" i="197"/>
  <c r="P580" i="197"/>
  <c r="P578" i="197"/>
  <c r="P577" i="197"/>
  <c r="P576" i="197"/>
  <c r="P575" i="197"/>
  <c r="P574" i="197"/>
  <c r="P573" i="197"/>
  <c r="P571" i="197"/>
  <c r="P570" i="197"/>
  <c r="P569" i="197"/>
  <c r="P568" i="197"/>
  <c r="P567" i="197"/>
  <c r="P566" i="197"/>
  <c r="P565" i="197"/>
  <c r="P563" i="197"/>
  <c r="P562" i="197"/>
  <c r="P561" i="197"/>
  <c r="P560" i="197"/>
  <c r="P559" i="197"/>
  <c r="P558" i="197"/>
  <c r="P557" i="197"/>
  <c r="P555" i="197"/>
  <c r="P554" i="197"/>
  <c r="P553" i="197"/>
  <c r="P552" i="197"/>
  <c r="P551" i="197"/>
  <c r="P550" i="197"/>
  <c r="P549" i="197"/>
  <c r="P547" i="197"/>
  <c r="P546" i="197"/>
  <c r="P545" i="197"/>
  <c r="P544" i="197"/>
  <c r="P543" i="197"/>
  <c r="P542" i="197"/>
  <c r="P541" i="197"/>
  <c r="P540" i="197"/>
  <c r="P538" i="197"/>
  <c r="P537" i="197"/>
  <c r="P536" i="197"/>
  <c r="P535" i="197"/>
  <c r="P534" i="197"/>
  <c r="P533" i="197"/>
  <c r="P532" i="197"/>
  <c r="P531" i="197"/>
  <c r="P530" i="197"/>
  <c r="P529" i="197"/>
  <c r="P528" i="197"/>
  <c r="P527" i="197"/>
  <c r="P526" i="197"/>
  <c r="P525" i="197"/>
  <c r="P524" i="197"/>
  <c r="P523" i="197"/>
  <c r="P521" i="197"/>
  <c r="P520" i="197"/>
  <c r="P519" i="197"/>
  <c r="P518" i="197"/>
  <c r="P517" i="197"/>
  <c r="P515" i="197"/>
  <c r="P514" i="197"/>
  <c r="P513" i="197"/>
  <c r="P511" i="197"/>
  <c r="P510" i="197"/>
  <c r="P509" i="197"/>
  <c r="P508" i="197"/>
  <c r="P507" i="197"/>
  <c r="P506" i="197"/>
  <c r="P505" i="197"/>
  <c r="P504" i="197"/>
  <c r="P502" i="197"/>
  <c r="P501" i="197"/>
  <c r="P500" i="197"/>
  <c r="P499" i="197"/>
  <c r="P498" i="197"/>
  <c r="P497" i="197"/>
  <c r="P496" i="197"/>
  <c r="P495" i="197"/>
  <c r="P494" i="197"/>
  <c r="P492" i="197"/>
  <c r="P491" i="197"/>
  <c r="P490" i="197"/>
  <c r="P489" i="197"/>
  <c r="P488" i="197"/>
  <c r="P487" i="197"/>
  <c r="P486" i="197"/>
  <c r="P485" i="197"/>
  <c r="P484" i="197"/>
  <c r="P482" i="197"/>
  <c r="P481" i="197"/>
  <c r="P480" i="197"/>
  <c r="P479" i="197"/>
  <c r="P478" i="197"/>
  <c r="P477" i="197"/>
  <c r="P476" i="197"/>
  <c r="P474" i="197"/>
  <c r="P473" i="197"/>
  <c r="P472" i="197"/>
  <c r="P471" i="197"/>
  <c r="P470" i="197"/>
  <c r="P469" i="197"/>
  <c r="P468" i="197"/>
  <c r="P467" i="197"/>
  <c r="P465" i="197"/>
  <c r="P464" i="197"/>
  <c r="P463" i="197"/>
  <c r="P462" i="197"/>
  <c r="P461" i="197"/>
  <c r="P460" i="197"/>
  <c r="P459" i="197"/>
  <c r="P457" i="197"/>
  <c r="P455" i="197"/>
  <c r="P454" i="197"/>
  <c r="P453" i="197"/>
  <c r="P452" i="197"/>
  <c r="P451" i="197"/>
  <c r="P450" i="197"/>
  <c r="P449" i="197"/>
  <c r="P448" i="197"/>
  <c r="P447" i="197"/>
  <c r="P445" i="197"/>
  <c r="P444" i="197"/>
  <c r="P443" i="197"/>
  <c r="P442" i="197"/>
  <c r="P441" i="197"/>
  <c r="P440" i="197"/>
  <c r="P439" i="197"/>
  <c r="P437" i="197"/>
  <c r="P436" i="197"/>
  <c r="P435" i="197"/>
  <c r="P434" i="197"/>
  <c r="P433" i="197"/>
  <c r="P432" i="197"/>
  <c r="P430" i="197"/>
  <c r="P429" i="197"/>
  <c r="P428" i="197"/>
  <c r="P427" i="197"/>
  <c r="P426" i="197"/>
  <c r="P424" i="197"/>
  <c r="P423" i="197"/>
  <c r="P422" i="197"/>
  <c r="P421" i="197"/>
  <c r="P420" i="197"/>
  <c r="P418" i="197"/>
  <c r="P417" i="197"/>
  <c r="P416" i="197"/>
  <c r="P415" i="197"/>
  <c r="P414" i="197"/>
  <c r="P412" i="197"/>
  <c r="P411" i="197"/>
  <c r="P410" i="197"/>
  <c r="P409" i="197"/>
  <c r="P408" i="197"/>
  <c r="P406" i="197"/>
  <c r="P405" i="197"/>
  <c r="P404" i="197"/>
  <c r="P402" i="197"/>
  <c r="P401" i="197"/>
  <c r="P400" i="197"/>
  <c r="P399" i="197"/>
  <c r="P398" i="197"/>
  <c r="P397" i="197"/>
  <c r="P395" i="197"/>
  <c r="P394" i="197"/>
  <c r="P393" i="197"/>
  <c r="P392" i="197"/>
  <c r="P391" i="197"/>
  <c r="P390" i="197"/>
  <c r="P389" i="197"/>
  <c r="P388" i="197"/>
  <c r="P386" i="197"/>
  <c r="P385" i="197"/>
  <c r="P384" i="197"/>
  <c r="P383" i="197"/>
  <c r="P382" i="197"/>
  <c r="P381" i="197"/>
  <c r="P380" i="197"/>
  <c r="P379" i="197"/>
  <c r="P377" i="197"/>
  <c r="P376" i="197"/>
  <c r="P375" i="197"/>
  <c r="P374" i="197"/>
  <c r="P373" i="197"/>
  <c r="P372" i="197"/>
  <c r="P371" i="197"/>
  <c r="P370" i="197"/>
  <c r="P368" i="197"/>
  <c r="P367" i="197"/>
  <c r="P366" i="197"/>
  <c r="P365" i="197"/>
  <c r="P364" i="197"/>
  <c r="P363" i="197"/>
  <c r="P362" i="197"/>
  <c r="P361" i="197"/>
  <c r="P359" i="197"/>
  <c r="P358" i="197"/>
  <c r="P357" i="197"/>
  <c r="P356" i="197"/>
  <c r="P355" i="197"/>
  <c r="P354" i="197"/>
  <c r="P353" i="197"/>
  <c r="P351" i="197"/>
  <c r="P350" i="197"/>
  <c r="P349" i="197"/>
  <c r="P348" i="197"/>
  <c r="P347" i="197"/>
  <c r="P346" i="197"/>
  <c r="P345" i="197"/>
  <c r="P344" i="197"/>
  <c r="P342" i="197"/>
  <c r="P341" i="197"/>
  <c r="P340" i="197"/>
  <c r="P339" i="197"/>
  <c r="P338" i="197"/>
  <c r="P337" i="197"/>
  <c r="P336" i="197"/>
  <c r="P335" i="197"/>
  <c r="P333" i="197"/>
  <c r="P332" i="197"/>
  <c r="P331" i="197"/>
  <c r="P330" i="197"/>
  <c r="P329" i="197"/>
  <c r="P328" i="197"/>
  <c r="P327" i="197"/>
  <c r="P326" i="197"/>
  <c r="P324" i="197"/>
  <c r="P323" i="197"/>
  <c r="P322" i="197"/>
  <c r="P321" i="197"/>
  <c r="P320" i="197"/>
  <c r="P319" i="197"/>
  <c r="P318" i="197"/>
  <c r="P317" i="197"/>
  <c r="P316" i="197"/>
  <c r="P315" i="197"/>
  <c r="P314" i="197"/>
  <c r="P313" i="197"/>
  <c r="P312" i="197"/>
  <c r="P311" i="197"/>
  <c r="P310" i="197"/>
  <c r="P309" i="197"/>
  <c r="P308" i="197"/>
  <c r="P307" i="197"/>
  <c r="P306" i="197"/>
  <c r="P305" i="197"/>
  <c r="P304" i="197"/>
  <c r="P303" i="197"/>
  <c r="P302" i="197"/>
  <c r="P301" i="197"/>
  <c r="P300" i="197"/>
  <c r="P299" i="197"/>
  <c r="P298" i="197"/>
  <c r="P297" i="197"/>
  <c r="P296" i="197"/>
  <c r="P295" i="197"/>
  <c r="P294" i="197"/>
  <c r="P293" i="197"/>
  <c r="P292" i="197"/>
  <c r="P291" i="197"/>
  <c r="P290" i="197"/>
  <c r="P289" i="197"/>
  <c r="P288" i="197"/>
  <c r="P287" i="197"/>
  <c r="P286" i="197"/>
  <c r="P285" i="197"/>
  <c r="P284" i="197"/>
  <c r="P283" i="197"/>
  <c r="P282" i="197"/>
  <c r="P281" i="197"/>
  <c r="P280" i="197"/>
  <c r="P279" i="197"/>
  <c r="P278" i="197"/>
  <c r="P277" i="197"/>
  <c r="P276" i="197"/>
  <c r="P275" i="197"/>
  <c r="P274" i="197"/>
  <c r="P273" i="197"/>
  <c r="P272" i="197"/>
  <c r="P271" i="197"/>
  <c r="P270" i="197"/>
  <c r="P269" i="197"/>
  <c r="P268" i="197"/>
  <c r="P267" i="197"/>
  <c r="P266" i="197"/>
  <c r="P265" i="197"/>
  <c r="P264" i="197"/>
  <c r="P263" i="197"/>
  <c r="P262" i="197"/>
  <c r="P261" i="197"/>
  <c r="P260" i="197"/>
  <c r="P259" i="197"/>
  <c r="P258" i="197"/>
  <c r="P257" i="197"/>
  <c r="P256" i="197"/>
  <c r="P255" i="197"/>
  <c r="P254" i="197"/>
  <c r="P253" i="197"/>
  <c r="P252" i="197"/>
  <c r="P251" i="197"/>
  <c r="P250" i="197"/>
  <c r="P249" i="197"/>
  <c r="P248" i="197"/>
  <c r="P247" i="197"/>
  <c r="P246" i="197"/>
  <c r="P245" i="197"/>
  <c r="P244" i="197"/>
  <c r="P243" i="197"/>
  <c r="P242" i="197"/>
  <c r="P241" i="197"/>
  <c r="P240" i="197"/>
  <c r="P239" i="197"/>
  <c r="P238" i="197"/>
  <c r="P237" i="197"/>
  <c r="P236" i="197"/>
  <c r="P235" i="197"/>
  <c r="P234" i="197"/>
  <c r="P233" i="197"/>
  <c r="P232" i="197"/>
  <c r="P202" i="197"/>
  <c r="P201" i="197"/>
  <c r="P200" i="197"/>
  <c r="P199" i="197"/>
  <c r="P198" i="197"/>
  <c r="P197" i="197"/>
  <c r="P196" i="197"/>
  <c r="P195" i="197"/>
  <c r="P194" i="197"/>
  <c r="P193" i="197"/>
  <c r="P192" i="197"/>
  <c r="P191" i="197"/>
  <c r="P190" i="197"/>
  <c r="P189" i="197"/>
  <c r="P188" i="197"/>
  <c r="P187" i="197"/>
  <c r="P186" i="197"/>
  <c r="P185" i="197"/>
  <c r="P184" i="197"/>
  <c r="P183" i="197"/>
  <c r="P182" i="197"/>
  <c r="P181" i="197"/>
  <c r="P180" i="197"/>
  <c r="P179" i="197"/>
  <c r="P178" i="197"/>
  <c r="P177" i="197"/>
  <c r="P176" i="197"/>
  <c r="P175" i="197"/>
  <c r="P174" i="197"/>
  <c r="P173" i="197"/>
  <c r="P171" i="197"/>
  <c r="P170" i="197"/>
  <c r="P169" i="197"/>
  <c r="P168" i="197"/>
  <c r="P167" i="197"/>
  <c r="P165" i="197"/>
  <c r="P164" i="197"/>
  <c r="P163" i="197"/>
  <c r="P162" i="197"/>
  <c r="P161" i="197"/>
  <c r="P159" i="197"/>
  <c r="P158" i="197"/>
  <c r="P157" i="197"/>
  <c r="P155" i="197"/>
  <c r="P154" i="197"/>
  <c r="P153" i="197"/>
  <c r="P152" i="197"/>
  <c r="P151" i="197"/>
  <c r="P150" i="197"/>
  <c r="P149" i="197"/>
  <c r="P147" i="197"/>
  <c r="P146" i="197"/>
  <c r="P145" i="197"/>
  <c r="P144" i="197"/>
  <c r="P143" i="197"/>
  <c r="P142" i="197"/>
  <c r="P141" i="197"/>
  <c r="P140" i="197"/>
  <c r="P139" i="197"/>
  <c r="P137" i="197"/>
  <c r="P136" i="197"/>
  <c r="P135" i="197"/>
  <c r="P134" i="197"/>
  <c r="P133" i="197"/>
  <c r="P132" i="197"/>
  <c r="P131" i="197"/>
  <c r="P129" i="197"/>
  <c r="P128" i="197"/>
  <c r="P127" i="197"/>
  <c r="P126" i="197"/>
  <c r="P125" i="197"/>
  <c r="P124" i="197"/>
  <c r="P123" i="197"/>
  <c r="P121" i="197"/>
  <c r="P120" i="197"/>
  <c r="P119" i="197"/>
  <c r="P118" i="197"/>
  <c r="P117" i="197"/>
  <c r="P116" i="197"/>
  <c r="P115" i="197"/>
  <c r="P114" i="197"/>
  <c r="P112" i="197"/>
  <c r="P111" i="197"/>
  <c r="P110" i="197"/>
  <c r="P109" i="197"/>
  <c r="P108" i="197"/>
  <c r="P107" i="197"/>
  <c r="P106" i="197"/>
  <c r="P105" i="197"/>
  <c r="P104" i="197"/>
  <c r="P102" i="197"/>
  <c r="P101" i="197"/>
  <c r="P100" i="197"/>
  <c r="P99" i="197"/>
  <c r="P98" i="197"/>
  <c r="P97" i="197"/>
  <c r="P96" i="197"/>
  <c r="P94" i="197"/>
  <c r="P93" i="197"/>
  <c r="P92" i="197"/>
  <c r="P91" i="197"/>
  <c r="P90" i="197"/>
  <c r="P89" i="197"/>
  <c r="P88" i="197"/>
  <c r="P86" i="197"/>
  <c r="P85" i="197"/>
  <c r="P84" i="197"/>
  <c r="P83" i="197"/>
  <c r="P82" i="197"/>
  <c r="P81" i="197"/>
  <c r="P79" i="197"/>
  <c r="P78" i="197"/>
  <c r="P77" i="197"/>
  <c r="P76" i="197"/>
  <c r="P75" i="197"/>
  <c r="P73" i="197"/>
  <c r="P72" i="197"/>
  <c r="P71" i="197"/>
  <c r="P70" i="197"/>
  <c r="P69" i="197"/>
  <c r="P67" i="197"/>
  <c r="P66" i="197"/>
  <c r="P65" i="197"/>
  <c r="P64" i="197"/>
  <c r="P63" i="197"/>
  <c r="P61" i="197"/>
  <c r="P60" i="197"/>
  <c r="P59" i="197"/>
  <c r="P58" i="197"/>
  <c r="P57" i="197"/>
  <c r="P55" i="197"/>
  <c r="P54" i="197"/>
  <c r="P53" i="197"/>
  <c r="P52" i="197"/>
  <c r="P50" i="197"/>
  <c r="P49" i="197"/>
  <c r="P48" i="197"/>
  <c r="P47" i="197"/>
  <c r="P46" i="197"/>
  <c r="P44" i="197"/>
  <c r="P43" i="197"/>
  <c r="P42" i="197"/>
  <c r="P41" i="197"/>
  <c r="P40" i="197"/>
  <c r="P39" i="197"/>
  <c r="P38" i="197"/>
  <c r="P37" i="197"/>
  <c r="P35" i="197"/>
  <c r="P34" i="197"/>
  <c r="P33" i="197"/>
  <c r="P32" i="197"/>
  <c r="P31" i="197"/>
  <c r="P30" i="197"/>
  <c r="P29" i="197"/>
  <c r="P28" i="197"/>
  <c r="P27" i="197"/>
  <c r="P25" i="197"/>
  <c r="P24" i="197"/>
  <c r="P23" i="197"/>
  <c r="P22" i="197"/>
  <c r="P21" i="197"/>
  <c r="P20" i="197"/>
  <c r="P19" i="197"/>
  <c r="P17" i="197"/>
  <c r="P16" i="197"/>
  <c r="P15" i="197"/>
  <c r="P14" i="197"/>
  <c r="P13" i="197"/>
  <c r="P12" i="197"/>
  <c r="P11" i="197"/>
  <c r="P9" i="197"/>
  <c r="P8" i="197"/>
  <c r="P7" i="197"/>
  <c r="P6" i="197"/>
  <c r="P5" i="197"/>
  <c r="P4" i="197"/>
  <c r="N231" i="197" l="1"/>
  <c r="N230" i="197"/>
  <c r="N229" i="197"/>
  <c r="N228" i="197"/>
  <c r="N227" i="197"/>
  <c r="N226" i="197"/>
  <c r="N225" i="197"/>
  <c r="N224" i="197"/>
  <c r="N223" i="197"/>
  <c r="N222" i="197"/>
  <c r="N221" i="197"/>
  <c r="N220" i="197"/>
  <c r="N219" i="197"/>
  <c r="N218" i="197"/>
  <c r="N217" i="197"/>
  <c r="N216" i="197"/>
  <c r="N215" i="197"/>
  <c r="N214" i="197"/>
  <c r="N213" i="197"/>
  <c r="N212" i="197"/>
  <c r="N211" i="197"/>
  <c r="N210" i="197"/>
  <c r="N209" i="197"/>
  <c r="N208" i="197"/>
  <c r="N207" i="197"/>
  <c r="N206" i="197"/>
  <c r="N205" i="197"/>
  <c r="N204" i="197"/>
  <c r="D16" i="206"/>
  <c r="A1" i="206" a="1"/>
  <c r="A1" i="206" s="1"/>
  <c r="D16" i="205"/>
  <c r="A1" i="205" a="1"/>
  <c r="A1" i="205" s="1"/>
  <c r="D16" i="204"/>
  <c r="A1" i="204" a="1"/>
  <c r="A1" i="204" s="1"/>
  <c r="A214" i="197" l="1"/>
  <c r="A204" i="197"/>
  <c r="A222" i="197"/>
  <c r="A225" i="197"/>
  <c r="A226" i="197"/>
  <c r="A227" i="197"/>
  <c r="A229" i="197"/>
  <c r="A230" i="197"/>
  <c r="A228" i="197"/>
  <c r="A231" i="197"/>
  <c r="A223" i="197"/>
  <c r="A224" i="197"/>
  <c r="A216" i="197"/>
  <c r="A218" i="197"/>
  <c r="A219" i="197"/>
  <c r="A220" i="197"/>
  <c r="A217" i="197"/>
  <c r="A215" i="197"/>
  <c r="A221" i="197"/>
  <c r="A206" i="197"/>
  <c r="A208" i="197"/>
  <c r="A205" i="197"/>
  <c r="A207" i="197"/>
  <c r="A209" i="197"/>
  <c r="A210" i="197"/>
  <c r="A211" i="197"/>
  <c r="A212" i="197"/>
  <c r="A213" i="197"/>
  <c r="N190" i="197"/>
  <c r="D214" i="197" a="1"/>
  <c r="E208" i="197" a="1"/>
  <c r="E222" i="197" a="1"/>
  <c r="D220" i="197" a="1"/>
  <c r="E205" i="197" a="1"/>
  <c r="E209" i="197" a="1"/>
  <c r="E207" i="197" a="1"/>
  <c r="E216" i="197" a="1"/>
  <c r="D211" i="197" a="1"/>
  <c r="E219" i="197" a="1"/>
  <c r="E210" i="197" a="1"/>
  <c r="D204" i="197" a="1"/>
  <c r="D218" i="197" a="1"/>
  <c r="D212" i="197" a="1"/>
  <c r="D213" i="197" a="1"/>
  <c r="D217" i="197" a="1"/>
  <c r="E221" i="197" a="1"/>
  <c r="D206" i="197" a="1"/>
  <c r="B215" i="197" l="1"/>
  <c r="D204" i="197"/>
  <c r="E222" i="197"/>
  <c r="D214" i="197"/>
  <c r="B223" i="197"/>
  <c r="B224" i="197"/>
  <c r="B231" i="197"/>
  <c r="B230" i="197"/>
  <c r="B229" i="197"/>
  <c r="B227" i="197"/>
  <c r="B226" i="197"/>
  <c r="B228" i="197"/>
  <c r="B225" i="197"/>
  <c r="B221" i="197"/>
  <c r="E216" i="197"/>
  <c r="D217" i="197"/>
  <c r="D218" i="197"/>
  <c r="E221" i="197"/>
  <c r="D220" i="197"/>
  <c r="E219" i="197"/>
  <c r="B216" i="197"/>
  <c r="B217" i="197"/>
  <c r="B218" i="197"/>
  <c r="B222" i="197"/>
  <c r="B220" i="197"/>
  <c r="B219" i="197"/>
  <c r="B211" i="197"/>
  <c r="B212" i="197"/>
  <c r="B214" i="197"/>
  <c r="B213" i="197"/>
  <c r="E205" i="197"/>
  <c r="E208" i="197"/>
  <c r="E210" i="197"/>
  <c r="E209" i="197"/>
  <c r="E207" i="197"/>
  <c r="D206" i="197"/>
  <c r="D213" i="197"/>
  <c r="D211" i="197"/>
  <c r="D212" i="197"/>
  <c r="B207" i="197"/>
  <c r="B205" i="197"/>
  <c r="B209" i="197"/>
  <c r="B208" i="197"/>
  <c r="B206" i="197"/>
  <c r="B210" i="197"/>
  <c r="D227" i="197" a="1"/>
  <c r="E231" i="197" a="1"/>
  <c r="E212" i="197" a="1"/>
  <c r="D231" i="197" a="1"/>
  <c r="E204" i="197" a="1"/>
  <c r="D209" i="197" a="1"/>
  <c r="E226" i="197" a="1"/>
  <c r="E214" i="197" a="1"/>
  <c r="D219" i="197" a="1"/>
  <c r="E211" i="197" a="1"/>
  <c r="D221" i="197" a="1"/>
  <c r="D223" i="197" a="1"/>
  <c r="D230" i="197" a="1"/>
  <c r="E223" i="197" a="1"/>
  <c r="D215" i="197" a="1"/>
  <c r="E220" i="197" a="1"/>
  <c r="E230" i="197" a="1"/>
  <c r="D222" i="197" a="1"/>
  <c r="E224" i="197" a="1"/>
  <c r="D208" i="197" a="1"/>
  <c r="D225" i="197" a="1"/>
  <c r="D216" i="197" a="1"/>
  <c r="E227" i="197" a="1"/>
  <c r="D226" i="197" a="1"/>
  <c r="D210" i="197" a="1"/>
  <c r="E229" i="197" a="1"/>
  <c r="D207" i="197" a="1"/>
  <c r="D229" i="197" a="1"/>
  <c r="E206" i="197" a="1"/>
  <c r="E228" i="197" a="1"/>
  <c r="E213" i="197" a="1"/>
  <c r="D228" i="197" a="1"/>
  <c r="E217" i="197" a="1"/>
  <c r="D205" i="197" a="1"/>
  <c r="D224" i="197" a="1"/>
  <c r="E225" i="197" a="1"/>
  <c r="E218" i="197" a="1"/>
  <c r="E215" i="197" a="1"/>
  <c r="E206" i="197" l="1"/>
  <c r="E204" i="197"/>
  <c r="D222" i="197"/>
  <c r="E214" i="197"/>
  <c r="D221" i="197"/>
  <c r="D215" i="197"/>
  <c r="E215" i="197"/>
  <c r="E220" i="197"/>
  <c r="D216" i="197"/>
  <c r="E218" i="197"/>
  <c r="D219" i="197"/>
  <c r="E217" i="197"/>
  <c r="D229" i="197"/>
  <c r="D228" i="197"/>
  <c r="E228" i="197"/>
  <c r="D225" i="197"/>
  <c r="D230" i="197"/>
  <c r="D226" i="197"/>
  <c r="D231" i="197"/>
  <c r="E223" i="197"/>
  <c r="E230" i="197"/>
  <c r="E226" i="197"/>
  <c r="E231" i="197"/>
  <c r="D223" i="197"/>
  <c r="D227" i="197"/>
  <c r="D224" i="197"/>
  <c r="E227" i="197"/>
  <c r="E224" i="197"/>
  <c r="E225" i="197"/>
  <c r="E229" i="197"/>
  <c r="D208" i="197"/>
  <c r="E212" i="197"/>
  <c r="D210" i="197"/>
  <c r="E213" i="197"/>
  <c r="D209" i="197"/>
  <c r="E211" i="197"/>
  <c r="D205" i="197"/>
  <c r="D207" i="197"/>
  <c r="N533" i="197" l="1"/>
  <c r="N532" i="197"/>
  <c r="N531" i="197"/>
  <c r="N530" i="197"/>
  <c r="N529" i="197"/>
  <c r="N528" i="197"/>
  <c r="N527" i="197"/>
  <c r="N526" i="197"/>
  <c r="N525" i="197"/>
  <c r="N184" i="197"/>
  <c r="N183" i="197"/>
  <c r="N182" i="197"/>
  <c r="N181" i="197"/>
  <c r="N180" i="197"/>
  <c r="N179" i="197"/>
  <c r="N174" i="197"/>
  <c r="N175" i="197"/>
  <c r="N176" i="197"/>
  <c r="N177" i="197"/>
  <c r="N178" i="197"/>
  <c r="N173" i="197"/>
  <c r="A525" i="197" l="1"/>
  <c r="A526" i="197"/>
  <c r="A532" i="197"/>
  <c r="A531" i="197"/>
  <c r="A529" i="197"/>
  <c r="A530" i="197"/>
  <c r="A533" i="197"/>
  <c r="A528" i="197"/>
  <c r="A527" i="197"/>
  <c r="E184" i="197" a="1"/>
  <c r="E183" i="197" a="1"/>
  <c r="E181" i="197" a="1"/>
  <c r="E179" i="197" a="1"/>
  <c r="B527" i="197" l="1"/>
  <c r="B533" i="197"/>
  <c r="B530" i="197"/>
  <c r="B528" i="197"/>
  <c r="B526" i="197"/>
  <c r="B529" i="197"/>
  <c r="B531" i="197"/>
  <c r="B532" i="197"/>
  <c r="E183" i="197"/>
  <c r="E181" i="197"/>
  <c r="E184" i="197"/>
  <c r="E179" i="197"/>
  <c r="E178" i="197" a="1"/>
  <c r="D176" i="197" a="1"/>
  <c r="D184" i="197" a="1"/>
  <c r="D179" i="197" a="1"/>
  <c r="D174" i="197" a="1"/>
  <c r="D182" i="197" a="1"/>
  <c r="E173" i="197" a="1"/>
  <c r="E182" i="197" a="1"/>
  <c r="E174" i="197" a="1"/>
  <c r="E177" i="197" a="1"/>
  <c r="D178" i="197" a="1"/>
  <c r="E175" i="197" a="1"/>
  <c r="D180" i="197" a="1"/>
  <c r="D173" i="197" a="1"/>
  <c r="E180" i="197" a="1"/>
  <c r="E176" i="197" a="1"/>
  <c r="D181" i="197" a="1"/>
  <c r="D183" i="197" a="1"/>
  <c r="D175" i="197" a="1"/>
  <c r="D177" i="197" a="1"/>
  <c r="E180" i="197" l="1"/>
  <c r="D183" i="197"/>
  <c r="D179" i="197"/>
  <c r="E182" i="197"/>
  <c r="D182" i="197"/>
  <c r="D180" i="197"/>
  <c r="D184" i="197"/>
  <c r="D181" i="197"/>
  <c r="E177" i="197"/>
  <c r="D176" i="197"/>
  <c r="D177" i="197"/>
  <c r="E174" i="197"/>
  <c r="E178" i="197"/>
  <c r="E175" i="197"/>
  <c r="E173" i="197"/>
  <c r="D173" i="197"/>
  <c r="D175" i="197"/>
  <c r="E176" i="197"/>
  <c r="D174" i="197"/>
  <c r="D178" i="197"/>
  <c r="N458" i="197"/>
  <c r="D13" i="189" l="1"/>
  <c r="D23" i="19"/>
  <c r="N448" i="197"/>
  <c r="D23" i="125"/>
  <c r="D24" i="125"/>
  <c r="N389" i="197"/>
  <c r="N388" i="197"/>
  <c r="D24" i="140" l="1"/>
  <c r="N661" i="197"/>
  <c r="D23" i="140"/>
  <c r="N660" i="197"/>
  <c r="D20" i="140"/>
  <c r="N659" i="197"/>
  <c r="D19" i="140"/>
  <c r="N658" i="197"/>
  <c r="D17" i="140"/>
  <c r="N657" i="197"/>
  <c r="D14" i="140"/>
  <c r="N656" i="197"/>
  <c r="D13" i="140"/>
  <c r="N655" i="197"/>
  <c r="D12" i="140"/>
  <c r="N654" i="197"/>
  <c r="D11" i="140"/>
  <c r="N653" i="197"/>
  <c r="D10" i="140"/>
  <c r="N652" i="197"/>
  <c r="D25" i="36"/>
  <c r="N651" i="197"/>
  <c r="D24" i="36"/>
  <c r="N650" i="197"/>
  <c r="D21" i="36"/>
  <c r="N649" i="197"/>
  <c r="D20" i="36"/>
  <c r="N648" i="197"/>
  <c r="D18" i="36"/>
  <c r="N647" i="197"/>
  <c r="D15" i="36"/>
  <c r="N646" i="197"/>
  <c r="D14" i="36"/>
  <c r="N645" i="197"/>
  <c r="D13" i="36"/>
  <c r="N644" i="197"/>
  <c r="D12" i="36"/>
  <c r="N643" i="197"/>
  <c r="D11" i="36"/>
  <c r="N642" i="197"/>
  <c r="D10" i="36"/>
  <c r="N641" i="197"/>
  <c r="D25" i="35"/>
  <c r="N640" i="197"/>
  <c r="D24" i="35"/>
  <c r="N639" i="197"/>
  <c r="D21" i="35"/>
  <c r="N638" i="197"/>
  <c r="D20" i="35"/>
  <c r="N637" i="197"/>
  <c r="D18" i="35"/>
  <c r="N636" i="197"/>
  <c r="D15" i="35"/>
  <c r="N635" i="197"/>
  <c r="D14" i="35"/>
  <c r="N634" i="197"/>
  <c r="D13" i="35"/>
  <c r="N633" i="197"/>
  <c r="D12" i="35"/>
  <c r="N632" i="197"/>
  <c r="D11" i="35"/>
  <c r="N631" i="197"/>
  <c r="D10" i="35"/>
  <c r="N630" i="197"/>
  <c r="D23" i="73"/>
  <c r="N629" i="197"/>
  <c r="D21" i="73"/>
  <c r="N628" i="197"/>
  <c r="D20" i="73"/>
  <c r="N627" i="197"/>
  <c r="D14" i="73"/>
  <c r="N626" i="197"/>
  <c r="D13" i="73"/>
  <c r="N625" i="197"/>
  <c r="D12" i="73"/>
  <c r="N624" i="197"/>
  <c r="D11" i="73"/>
  <c r="N623" i="197"/>
  <c r="D24" i="131"/>
  <c r="N622" i="197"/>
  <c r="D22" i="131"/>
  <c r="N621" i="197"/>
  <c r="D21" i="131"/>
  <c r="N620" i="197"/>
  <c r="D16" i="131"/>
  <c r="N619" i="197"/>
  <c r="D13" i="131"/>
  <c r="N618" i="197"/>
  <c r="D12" i="131"/>
  <c r="N617" i="197"/>
  <c r="D11" i="131"/>
  <c r="N616" i="197"/>
  <c r="D10" i="131"/>
  <c r="N615" i="197"/>
  <c r="D25" i="132"/>
  <c r="N614" i="197"/>
  <c r="D23" i="132"/>
  <c r="N613" i="197"/>
  <c r="D22" i="132"/>
  <c r="N612" i="197"/>
  <c r="D17" i="132"/>
  <c r="N611" i="197"/>
  <c r="D14" i="132"/>
  <c r="N610" i="197"/>
  <c r="D13" i="132"/>
  <c r="N609" i="197"/>
  <c r="D12" i="132"/>
  <c r="N608" i="197"/>
  <c r="D11" i="132"/>
  <c r="N607" i="197"/>
  <c r="D16" i="82"/>
  <c r="N606" i="197"/>
  <c r="D15" i="82"/>
  <c r="N605" i="197"/>
  <c r="D12" i="82"/>
  <c r="N604" i="197"/>
  <c r="D11" i="82"/>
  <c r="N603" i="197"/>
  <c r="D10" i="82"/>
  <c r="N602" i="197"/>
  <c r="D15" i="81"/>
  <c r="N601" i="197"/>
  <c r="D14" i="81"/>
  <c r="N600" i="197"/>
  <c r="D11" i="81"/>
  <c r="N599" i="197"/>
  <c r="D10" i="81"/>
  <c r="N598" i="197"/>
  <c r="D17" i="86"/>
  <c r="N597" i="197"/>
  <c r="D16" i="86"/>
  <c r="N596" i="197"/>
  <c r="D13" i="86"/>
  <c r="N595" i="197"/>
  <c r="D12" i="86"/>
  <c r="N594" i="197"/>
  <c r="D11" i="86"/>
  <c r="N593" i="197"/>
  <c r="D10" i="86"/>
  <c r="N592" i="197"/>
  <c r="D17" i="85"/>
  <c r="N591" i="197"/>
  <c r="D16" i="85"/>
  <c r="N590" i="197"/>
  <c r="D13" i="85"/>
  <c r="N589" i="197"/>
  <c r="D12" i="85"/>
  <c r="N588" i="197"/>
  <c r="D11" i="85"/>
  <c r="N587" i="197"/>
  <c r="D10" i="85"/>
  <c r="N586" i="197"/>
  <c r="D17" i="27"/>
  <c r="N585" i="197"/>
  <c r="D16" i="27"/>
  <c r="N584" i="197"/>
  <c r="D13" i="27"/>
  <c r="N583" i="197"/>
  <c r="D12" i="27"/>
  <c r="N582" i="197"/>
  <c r="D11" i="27"/>
  <c r="N581" i="197"/>
  <c r="D10" i="27"/>
  <c r="N580" i="197"/>
  <c r="D17" i="26"/>
  <c r="N579" i="197"/>
  <c r="D16" i="26"/>
  <c r="N578" i="197"/>
  <c r="D13" i="26"/>
  <c r="N577" i="197"/>
  <c r="D12" i="26"/>
  <c r="N576" i="197"/>
  <c r="D11" i="26"/>
  <c r="N575" i="197"/>
  <c r="D10" i="26"/>
  <c r="N574" i="197"/>
  <c r="D9" i="147"/>
  <c r="D10" i="147" s="1"/>
  <c r="N573" i="197"/>
  <c r="D19" i="25"/>
  <c r="N572" i="197"/>
  <c r="D18" i="25"/>
  <c r="N571" i="197"/>
  <c r="D15" i="25"/>
  <c r="N570" i="197"/>
  <c r="D14" i="25"/>
  <c r="N569" i="197"/>
  <c r="D13" i="25"/>
  <c r="N568" i="197"/>
  <c r="D12" i="25"/>
  <c r="N567" i="197"/>
  <c r="D11" i="25"/>
  <c r="N566" i="197"/>
  <c r="D10" i="25"/>
  <c r="N565" i="197"/>
  <c r="D19" i="90"/>
  <c r="N564" i="197"/>
  <c r="D18" i="90"/>
  <c r="N563" i="197"/>
  <c r="D15" i="90"/>
  <c r="N562" i="197"/>
  <c r="D14" i="90"/>
  <c r="N561" i="197"/>
  <c r="D13" i="90"/>
  <c r="N560" i="197"/>
  <c r="D12" i="90"/>
  <c r="N559" i="197"/>
  <c r="D11" i="90"/>
  <c r="N558" i="197"/>
  <c r="D10" i="90"/>
  <c r="N557" i="197"/>
  <c r="D19" i="24"/>
  <c r="N556" i="197"/>
  <c r="D18" i="24"/>
  <c r="N555" i="197"/>
  <c r="D15" i="24"/>
  <c r="N554" i="197"/>
  <c r="D14" i="24"/>
  <c r="N553" i="197"/>
  <c r="D13" i="24"/>
  <c r="N552" i="197"/>
  <c r="D12" i="24"/>
  <c r="N551" i="197"/>
  <c r="D11" i="24"/>
  <c r="N550" i="197"/>
  <c r="D10" i="24"/>
  <c r="N549" i="197"/>
  <c r="D18" i="23"/>
  <c r="N548" i="197"/>
  <c r="D17" i="23"/>
  <c r="N547" i="197"/>
  <c r="D14" i="23"/>
  <c r="N546" i="197"/>
  <c r="D13" i="23"/>
  <c r="N545" i="197"/>
  <c r="D12" i="23"/>
  <c r="N544" i="197"/>
  <c r="D11" i="23"/>
  <c r="N543" i="197"/>
  <c r="D10" i="23"/>
  <c r="N542" i="197"/>
  <c r="D20" i="22"/>
  <c r="N541" i="197"/>
  <c r="D19" i="22"/>
  <c r="N540" i="197"/>
  <c r="D16" i="22"/>
  <c r="N539" i="197"/>
  <c r="D15" i="22"/>
  <c r="N538" i="197"/>
  <c r="D12" i="22"/>
  <c r="N537" i="197"/>
  <c r="D11" i="22"/>
  <c r="N536" i="197"/>
  <c r="D10" i="22"/>
  <c r="N535" i="197"/>
  <c r="D9" i="22"/>
  <c r="N534" i="197"/>
  <c r="D22" i="21"/>
  <c r="N524" i="197"/>
  <c r="D21" i="21"/>
  <c r="N523" i="197"/>
  <c r="D18" i="21"/>
  <c r="N522" i="197"/>
  <c r="D17" i="21"/>
  <c r="N521" i="197"/>
  <c r="D14" i="21"/>
  <c r="N520" i="197"/>
  <c r="D13" i="21"/>
  <c r="N519" i="197"/>
  <c r="D12" i="21"/>
  <c r="N518" i="197"/>
  <c r="D11" i="21"/>
  <c r="N517" i="197"/>
  <c r="D15" i="17"/>
  <c r="N516" i="197"/>
  <c r="D14" i="17"/>
  <c r="N515" i="197"/>
  <c r="D11" i="17"/>
  <c r="N514" i="197"/>
  <c r="D10" i="17"/>
  <c r="N513" i="197"/>
  <c r="D16" i="16"/>
  <c r="N512" i="197"/>
  <c r="D15" i="16"/>
  <c r="N511" i="197"/>
  <c r="D12" i="16"/>
  <c r="N510" i="197"/>
  <c r="D11" i="16"/>
  <c r="N509" i="197"/>
  <c r="D10" i="16"/>
  <c r="N508" i="197"/>
  <c r="D10" i="89"/>
  <c r="D11" i="89" s="1"/>
  <c r="N507" i="197"/>
  <c r="D9" i="148"/>
  <c r="D10" i="148" s="1"/>
  <c r="N506" i="197"/>
  <c r="D24" i="189"/>
  <c r="N505" i="197"/>
  <c r="D23" i="189"/>
  <c r="N504" i="197"/>
  <c r="D20" i="189"/>
  <c r="N503" i="197"/>
  <c r="D19" i="189"/>
  <c r="N502" i="197"/>
  <c r="D16" i="189"/>
  <c r="N501" i="197"/>
  <c r="D15" i="189"/>
  <c r="N500" i="197"/>
  <c r="D14" i="189"/>
  <c r="N499" i="197"/>
  <c r="N498" i="197"/>
  <c r="D12" i="189"/>
  <c r="N497" i="197"/>
  <c r="D11" i="189"/>
  <c r="N496" i="197"/>
  <c r="D25" i="188"/>
  <c r="N495" i="197"/>
  <c r="D24" i="188"/>
  <c r="N494" i="197"/>
  <c r="D20" i="188"/>
  <c r="N493" i="197"/>
  <c r="D19" i="188"/>
  <c r="N492" i="197"/>
  <c r="D16" i="188"/>
  <c r="N491" i="197"/>
  <c r="D15" i="188"/>
  <c r="N490" i="197"/>
  <c r="D14" i="188"/>
  <c r="N489" i="197"/>
  <c r="D13" i="188"/>
  <c r="N488" i="197"/>
  <c r="D12" i="188"/>
  <c r="N487" i="197"/>
  <c r="D11" i="188"/>
  <c r="N486" i="197"/>
  <c r="D24" i="187"/>
  <c r="N485" i="197"/>
  <c r="D23" i="187"/>
  <c r="N484" i="197"/>
  <c r="D20" i="187"/>
  <c r="N483" i="197"/>
  <c r="D19" i="187"/>
  <c r="N482" i="197"/>
  <c r="D16" i="187"/>
  <c r="N481" i="197"/>
  <c r="D15" i="187"/>
  <c r="N480" i="197"/>
  <c r="D14" i="187"/>
  <c r="N479" i="197"/>
  <c r="D13" i="187"/>
  <c r="N478" i="197"/>
  <c r="D12" i="187"/>
  <c r="N477" i="197"/>
  <c r="D11" i="187"/>
  <c r="N476" i="197"/>
  <c r="D19" i="186"/>
  <c r="N475" i="197"/>
  <c r="D18" i="186"/>
  <c r="N474" i="197"/>
  <c r="D15" i="186"/>
  <c r="N473" i="197"/>
  <c r="D14" i="186"/>
  <c r="N472" i="197"/>
  <c r="D13" i="186"/>
  <c r="N471" i="197"/>
  <c r="D12" i="186"/>
  <c r="N470" i="197"/>
  <c r="D11" i="186"/>
  <c r="N469" i="197"/>
  <c r="D23" i="20"/>
  <c r="N468" i="197"/>
  <c r="D22" i="20"/>
  <c r="N467" i="197"/>
  <c r="D19" i="20"/>
  <c r="N466" i="197"/>
  <c r="D18" i="20"/>
  <c r="N465" i="197"/>
  <c r="D15" i="20"/>
  <c r="N464" i="197"/>
  <c r="D14" i="20"/>
  <c r="N463" i="197"/>
  <c r="D13" i="20"/>
  <c r="N462" i="197"/>
  <c r="D12" i="20"/>
  <c r="N461" i="197"/>
  <c r="D11" i="20"/>
  <c r="N460" i="197"/>
  <c r="D10" i="20"/>
  <c r="N459" i="197"/>
  <c r="D23" i="88"/>
  <c r="N457" i="197"/>
  <c r="N456" i="197"/>
  <c r="N455" i="197"/>
  <c r="N454" i="197"/>
  <c r="D14" i="88"/>
  <c r="N453" i="197"/>
  <c r="D13" i="88"/>
  <c r="N452" i="197"/>
  <c r="D12" i="88"/>
  <c r="N451" i="197"/>
  <c r="D11" i="88"/>
  <c r="N450" i="197"/>
  <c r="D10" i="88"/>
  <c r="N449" i="197"/>
  <c r="D22" i="19"/>
  <c r="N447" i="197"/>
  <c r="D19" i="19"/>
  <c r="N446" i="197"/>
  <c r="D18" i="19"/>
  <c r="N445" i="197"/>
  <c r="D15" i="19"/>
  <c r="N444" i="197"/>
  <c r="D14" i="19"/>
  <c r="N443" i="197"/>
  <c r="D13" i="19"/>
  <c r="N442" i="197"/>
  <c r="D12" i="19"/>
  <c r="N441" i="197"/>
  <c r="D11" i="19"/>
  <c r="N440" i="197"/>
  <c r="D10" i="19"/>
  <c r="N439" i="197"/>
  <c r="D18" i="18"/>
  <c r="N438" i="197"/>
  <c r="D17" i="18"/>
  <c r="N437" i="197"/>
  <c r="D14" i="18"/>
  <c r="N436" i="197"/>
  <c r="D13" i="18"/>
  <c r="N435" i="197"/>
  <c r="D12" i="18"/>
  <c r="N434" i="197"/>
  <c r="D11" i="18"/>
  <c r="N433" i="197"/>
  <c r="D10" i="18"/>
  <c r="N432" i="197"/>
  <c r="D17" i="13"/>
  <c r="N431" i="197"/>
  <c r="D16" i="13"/>
  <c r="N430" i="197"/>
  <c r="D13" i="13"/>
  <c r="N429" i="197"/>
  <c r="D12" i="13"/>
  <c r="N428" i="197"/>
  <c r="D11" i="13"/>
  <c r="N427" i="197"/>
  <c r="D10" i="13"/>
  <c r="N426" i="197"/>
  <c r="D17" i="12"/>
  <c r="N425" i="197"/>
  <c r="D16" i="12"/>
  <c r="N424" i="197"/>
  <c r="D13" i="12"/>
  <c r="N423" i="197"/>
  <c r="D12" i="12"/>
  <c r="N422" i="197"/>
  <c r="D11" i="12"/>
  <c r="N421" i="197"/>
  <c r="D10" i="12"/>
  <c r="N420" i="197"/>
  <c r="D18" i="10"/>
  <c r="N419" i="197"/>
  <c r="D17" i="10"/>
  <c r="N418" i="197"/>
  <c r="D14" i="10"/>
  <c r="N417" i="197"/>
  <c r="D13" i="10"/>
  <c r="N416" i="197"/>
  <c r="D12" i="10"/>
  <c r="N415" i="197"/>
  <c r="D11" i="10"/>
  <c r="N414" i="197"/>
  <c r="D17" i="11"/>
  <c r="N413" i="197"/>
  <c r="D16" i="11"/>
  <c r="N412" i="197"/>
  <c r="D13" i="11"/>
  <c r="N411" i="197"/>
  <c r="D12" i="11"/>
  <c r="N410" i="197"/>
  <c r="D11" i="11"/>
  <c r="N409" i="197"/>
  <c r="D10" i="11"/>
  <c r="N408" i="197"/>
  <c r="D15" i="15"/>
  <c r="N407" i="197"/>
  <c r="D14" i="15"/>
  <c r="N406" i="197"/>
  <c r="D11" i="15"/>
  <c r="N405" i="197"/>
  <c r="D10" i="15"/>
  <c r="N404" i="197"/>
  <c r="D16" i="14"/>
  <c r="N403" i="197"/>
  <c r="D15" i="14"/>
  <c r="N402" i="197"/>
  <c r="D12" i="14"/>
  <c r="N401" i="197"/>
  <c r="D11" i="14"/>
  <c r="N400" i="197"/>
  <c r="D10" i="14"/>
  <c r="N399" i="197"/>
  <c r="D21" i="9"/>
  <c r="N398" i="197"/>
  <c r="D20" i="9"/>
  <c r="N397" i="197"/>
  <c r="D17" i="9"/>
  <c r="N396" i="197"/>
  <c r="D16" i="9"/>
  <c r="N395" i="197"/>
  <c r="D13" i="9"/>
  <c r="N394" i="197"/>
  <c r="D12" i="9"/>
  <c r="N393" i="197"/>
  <c r="D11" i="9"/>
  <c r="N392" i="197"/>
  <c r="D10" i="9"/>
  <c r="N391" i="197"/>
  <c r="D10" i="149"/>
  <c r="N390" i="197"/>
  <c r="D20" i="125"/>
  <c r="N387" i="197"/>
  <c r="D19" i="125"/>
  <c r="N386" i="197"/>
  <c r="D16" i="125"/>
  <c r="N385" i="197"/>
  <c r="D15" i="125"/>
  <c r="N384" i="197"/>
  <c r="D14" i="125"/>
  <c r="N383" i="197"/>
  <c r="D13" i="125"/>
  <c r="N382" i="197"/>
  <c r="D12" i="125"/>
  <c r="N381" i="197"/>
  <c r="D11" i="125"/>
  <c r="N380" i="197"/>
  <c r="D10" i="125"/>
  <c r="N379" i="197"/>
  <c r="D20" i="124"/>
  <c r="N378" i="197"/>
  <c r="D19" i="124"/>
  <c r="N377" i="197"/>
  <c r="D16" i="124"/>
  <c r="N376" i="197"/>
  <c r="D15" i="124"/>
  <c r="N375" i="197"/>
  <c r="D14" i="124"/>
  <c r="N374" i="197"/>
  <c r="D13" i="124"/>
  <c r="N373" i="197"/>
  <c r="D12" i="124"/>
  <c r="N372" i="197"/>
  <c r="D11" i="124"/>
  <c r="N371" i="197"/>
  <c r="D10" i="124"/>
  <c r="N370" i="197"/>
  <c r="D20" i="123"/>
  <c r="N369" i="197"/>
  <c r="D19" i="123"/>
  <c r="N368" i="197"/>
  <c r="D16" i="123"/>
  <c r="N367" i="197"/>
  <c r="D15" i="123"/>
  <c r="N366" i="197"/>
  <c r="D14" i="123"/>
  <c r="N365" i="197"/>
  <c r="D13" i="123"/>
  <c r="N364" i="197"/>
  <c r="D12" i="123"/>
  <c r="N363" i="197"/>
  <c r="D11" i="123"/>
  <c r="N362" i="197"/>
  <c r="D10" i="123"/>
  <c r="N361" i="197"/>
  <c r="D19" i="122"/>
  <c r="N360" i="197"/>
  <c r="D18" i="122"/>
  <c r="N359" i="197"/>
  <c r="D15" i="122"/>
  <c r="N358" i="197"/>
  <c r="D14" i="122"/>
  <c r="N357" i="197"/>
  <c r="D13" i="122"/>
  <c r="N356" i="197"/>
  <c r="D12" i="122"/>
  <c r="N355" i="197"/>
  <c r="D11" i="122"/>
  <c r="N354" i="197"/>
  <c r="D10" i="122"/>
  <c r="N353" i="197"/>
  <c r="D20" i="8"/>
  <c r="N352" i="197"/>
  <c r="D19" i="8"/>
  <c r="N351" i="197"/>
  <c r="D16" i="8"/>
  <c r="N350" i="197"/>
  <c r="D15" i="8"/>
  <c r="N349" i="197"/>
  <c r="D14" i="8"/>
  <c r="N348" i="197"/>
  <c r="D13" i="8"/>
  <c r="N347" i="197"/>
  <c r="D12" i="8"/>
  <c r="N346" i="197"/>
  <c r="D11" i="8"/>
  <c r="N345" i="197"/>
  <c r="D10" i="8"/>
  <c r="N344" i="197"/>
  <c r="D20" i="87"/>
  <c r="N343" i="197"/>
  <c r="D19" i="87"/>
  <c r="N342" i="197"/>
  <c r="D16" i="87"/>
  <c r="N341" i="197"/>
  <c r="D15" i="87"/>
  <c r="N340" i="197"/>
  <c r="D14" i="87"/>
  <c r="N339" i="197"/>
  <c r="D13" i="87"/>
  <c r="N338" i="197"/>
  <c r="D12" i="87"/>
  <c r="N337" i="197"/>
  <c r="D11" i="87"/>
  <c r="N336" i="197"/>
  <c r="D10" i="87"/>
  <c r="N335" i="197"/>
  <c r="D20" i="84"/>
  <c r="N334" i="197"/>
  <c r="D19" i="84"/>
  <c r="N333" i="197"/>
  <c r="D16" i="84"/>
  <c r="N332" i="197"/>
  <c r="D15" i="84"/>
  <c r="N331" i="197"/>
  <c r="D14" i="84"/>
  <c r="N330" i="197"/>
  <c r="D13" i="84"/>
  <c r="N329" i="197"/>
  <c r="D12" i="84"/>
  <c r="N328" i="197"/>
  <c r="D11" i="84"/>
  <c r="N327" i="197"/>
  <c r="D10" i="84"/>
  <c r="N326" i="197"/>
  <c r="D19" i="6"/>
  <c r="N325" i="197"/>
  <c r="D18" i="6"/>
  <c r="N324" i="197"/>
  <c r="D15" i="6"/>
  <c r="N323" i="197"/>
  <c r="D14" i="6"/>
  <c r="N322" i="197"/>
  <c r="D13" i="6"/>
  <c r="N321" i="197"/>
  <c r="D12" i="6"/>
  <c r="N320" i="197"/>
  <c r="D11" i="6"/>
  <c r="N319" i="197"/>
  <c r="D10" i="6"/>
  <c r="N318" i="197"/>
  <c r="D23" i="80"/>
  <c r="N317" i="197"/>
  <c r="D21" i="80"/>
  <c r="N316" i="197"/>
  <c r="D20" i="80"/>
  <c r="N315" i="197"/>
  <c r="D14" i="80"/>
  <c r="N314" i="197"/>
  <c r="D13" i="80"/>
  <c r="N313" i="197"/>
  <c r="D12" i="80"/>
  <c r="N312" i="197"/>
  <c r="D11" i="80"/>
  <c r="N311" i="197"/>
  <c r="D22" i="79"/>
  <c r="N310" i="197"/>
  <c r="D20" i="79"/>
  <c r="N309" i="197"/>
  <c r="D19" i="79"/>
  <c r="N308" i="197"/>
  <c r="D13" i="79"/>
  <c r="N307" i="197"/>
  <c r="D12" i="79"/>
  <c r="N306" i="197"/>
  <c r="D11" i="79"/>
  <c r="N305" i="197"/>
  <c r="D10" i="79"/>
  <c r="N304" i="197"/>
  <c r="D23" i="191"/>
  <c r="N303" i="197"/>
  <c r="D21" i="191"/>
  <c r="N302" i="197"/>
  <c r="D20" i="191"/>
  <c r="N301" i="197"/>
  <c r="D12" i="191"/>
  <c r="N300" i="197"/>
  <c r="D11" i="191"/>
  <c r="N299" i="197"/>
  <c r="D10" i="191"/>
  <c r="N298" i="197"/>
  <c r="D9" i="191"/>
  <c r="N297" i="197"/>
  <c r="D23" i="77"/>
  <c r="N296" i="197"/>
  <c r="D21" i="77"/>
  <c r="N295" i="197"/>
  <c r="D20" i="77"/>
  <c r="N294" i="197"/>
  <c r="D12" i="77"/>
  <c r="N293" i="197"/>
  <c r="D11" i="77"/>
  <c r="N292" i="197"/>
  <c r="D10" i="77"/>
  <c r="N291" i="197"/>
  <c r="D9" i="77"/>
  <c r="N290" i="197"/>
  <c r="D21" i="144"/>
  <c r="N289" i="197"/>
  <c r="D19" i="144"/>
  <c r="N288" i="197"/>
  <c r="D18" i="144"/>
  <c r="N287" i="197"/>
  <c r="D12" i="144"/>
  <c r="N286" i="197"/>
  <c r="D11" i="144"/>
  <c r="N285" i="197"/>
  <c r="D10" i="144"/>
  <c r="N284" i="197"/>
  <c r="D9" i="144"/>
  <c r="N283" i="197"/>
  <c r="D22" i="76"/>
  <c r="N282" i="197"/>
  <c r="D20" i="76"/>
  <c r="N281" i="197"/>
  <c r="D19" i="76"/>
  <c r="N280" i="197"/>
  <c r="D13" i="76"/>
  <c r="N279" i="197"/>
  <c r="D12" i="76"/>
  <c r="N278" i="197"/>
  <c r="D11" i="76"/>
  <c r="N277" i="197"/>
  <c r="D10" i="76"/>
  <c r="N276" i="197"/>
  <c r="D23" i="133"/>
  <c r="N275" i="197"/>
  <c r="D21" i="133"/>
  <c r="N274" i="197"/>
  <c r="D20" i="133"/>
  <c r="N273" i="197"/>
  <c r="D14" i="133"/>
  <c r="N272" i="197"/>
  <c r="D13" i="133"/>
  <c r="N271" i="197"/>
  <c r="D12" i="133"/>
  <c r="N270" i="197"/>
  <c r="D11" i="133"/>
  <c r="N269" i="197"/>
  <c r="D23" i="78"/>
  <c r="N268" i="197"/>
  <c r="D21" i="78"/>
  <c r="N267" i="197"/>
  <c r="D20" i="78"/>
  <c r="N266" i="197"/>
  <c r="D15" i="78"/>
  <c r="N265" i="197"/>
  <c r="D14" i="78"/>
  <c r="N264" i="197"/>
  <c r="D13" i="78"/>
  <c r="N263" i="197"/>
  <c r="D12" i="78"/>
  <c r="N262" i="197"/>
  <c r="D11" i="78"/>
  <c r="N261" i="197"/>
  <c r="D10" i="83"/>
  <c r="N260" i="197"/>
  <c r="D22" i="128"/>
  <c r="N259" i="197"/>
  <c r="D20" i="128"/>
  <c r="N258" i="197"/>
  <c r="D19" i="128"/>
  <c r="N257" i="197"/>
  <c r="D16" i="128"/>
  <c r="N256" i="197"/>
  <c r="D15" i="128"/>
  <c r="N255" i="197"/>
  <c r="D14" i="128"/>
  <c r="N254" i="197"/>
  <c r="D13" i="128"/>
  <c r="N253" i="197"/>
  <c r="D12" i="128"/>
  <c r="N252" i="197"/>
  <c r="D11" i="128"/>
  <c r="N251" i="197"/>
  <c r="D22" i="127"/>
  <c r="N250" i="197"/>
  <c r="D20" i="127"/>
  <c r="N249" i="197"/>
  <c r="D19" i="127"/>
  <c r="N248" i="197"/>
  <c r="D17" i="127"/>
  <c r="N247" i="197"/>
  <c r="D15" i="127"/>
  <c r="N246" i="197"/>
  <c r="D14" i="127"/>
  <c r="N245" i="197"/>
  <c r="D13" i="127"/>
  <c r="N244" i="197"/>
  <c r="D12" i="127"/>
  <c r="N243" i="197"/>
  <c r="D11" i="127"/>
  <c r="N242" i="197"/>
  <c r="D10" i="127"/>
  <c r="N241" i="197"/>
  <c r="D21" i="126"/>
  <c r="N240" i="197"/>
  <c r="D20" i="126"/>
  <c r="N239" i="197"/>
  <c r="D18" i="126"/>
  <c r="N238" i="197"/>
  <c r="D16" i="126"/>
  <c r="N237" i="197"/>
  <c r="D13" i="126"/>
  <c r="N236" i="197"/>
  <c r="D12" i="126"/>
  <c r="N235" i="197"/>
  <c r="D11" i="126"/>
  <c r="N234" i="197"/>
  <c r="D10" i="126"/>
  <c r="N233" i="197"/>
  <c r="D9" i="126"/>
  <c r="N232" i="197"/>
  <c r="D18" i="162"/>
  <c r="N203" i="197"/>
  <c r="D17" i="162"/>
  <c r="N202" i="197"/>
  <c r="D14" i="162"/>
  <c r="N201" i="197"/>
  <c r="D13" i="162"/>
  <c r="N200" i="197"/>
  <c r="D12" i="162"/>
  <c r="N199" i="197"/>
  <c r="D11" i="162"/>
  <c r="N198" i="197"/>
  <c r="D10" i="162"/>
  <c r="N197" i="197"/>
  <c r="N196" i="197"/>
  <c r="N195" i="197"/>
  <c r="N194" i="197"/>
  <c r="N193" i="197"/>
  <c r="N192" i="197"/>
  <c r="N191" i="197"/>
  <c r="N189" i="197"/>
  <c r="N188" i="197"/>
  <c r="N187" i="197"/>
  <c r="N186" i="197"/>
  <c r="N185" i="197"/>
  <c r="D17" i="47"/>
  <c r="N172" i="197"/>
  <c r="D16" i="47"/>
  <c r="N171" i="197"/>
  <c r="D13" i="47"/>
  <c r="N170" i="197"/>
  <c r="D12" i="47"/>
  <c r="N169" i="197"/>
  <c r="D11" i="47"/>
  <c r="N168" i="197"/>
  <c r="D10" i="47"/>
  <c r="N167" i="197"/>
  <c r="D17" i="46"/>
  <c r="N166" i="197"/>
  <c r="D16" i="46"/>
  <c r="N165" i="197"/>
  <c r="D13" i="46"/>
  <c r="N164" i="197"/>
  <c r="D12" i="46"/>
  <c r="N163" i="197"/>
  <c r="D11" i="46"/>
  <c r="N162" i="197"/>
  <c r="D10" i="46"/>
  <c r="N161" i="197"/>
  <c r="D15" i="60"/>
  <c r="N160" i="197"/>
  <c r="D14" i="60"/>
  <c r="N159" i="197"/>
  <c r="D11" i="60"/>
  <c r="N158" i="197"/>
  <c r="D10" i="60"/>
  <c r="N157" i="197"/>
  <c r="D17" i="66"/>
  <c r="N156" i="197"/>
  <c r="D16" i="66"/>
  <c r="N155" i="197"/>
  <c r="D13" i="66"/>
  <c r="N154" i="197"/>
  <c r="D12" i="66"/>
  <c r="N153" i="197"/>
  <c r="D11" i="66"/>
  <c r="N152" i="197"/>
  <c r="D10" i="150"/>
  <c r="N151" i="197"/>
  <c r="D23" i="39"/>
  <c r="N150" i="197"/>
  <c r="D22" i="39"/>
  <c r="N149" i="197"/>
  <c r="D19" i="39"/>
  <c r="N148" i="197"/>
  <c r="D18" i="39"/>
  <c r="N147" i="197"/>
  <c r="D15" i="39"/>
  <c r="N146" i="197"/>
  <c r="D14" i="39"/>
  <c r="N145" i="197"/>
  <c r="D13" i="39"/>
  <c r="N144" i="197"/>
  <c r="D12" i="39"/>
  <c r="N143" i="197"/>
  <c r="D11" i="39"/>
  <c r="N142" i="197"/>
  <c r="D10" i="39"/>
  <c r="N141" i="197"/>
  <c r="D23" i="91"/>
  <c r="N140" i="197"/>
  <c r="D22" i="91"/>
  <c r="N139" i="197"/>
  <c r="D19" i="91"/>
  <c r="N138" i="197"/>
  <c r="D18" i="91"/>
  <c r="N137" i="197"/>
  <c r="D15" i="91"/>
  <c r="N136" i="197"/>
  <c r="D14" i="91"/>
  <c r="N135" i="197"/>
  <c r="D13" i="91"/>
  <c r="N134" i="197"/>
  <c r="D12" i="91"/>
  <c r="N133" i="197"/>
  <c r="D11" i="91"/>
  <c r="N132" i="197"/>
  <c r="D10" i="91"/>
  <c r="N131" i="197"/>
  <c r="D19" i="38"/>
  <c r="N130" i="197"/>
  <c r="D18" i="38"/>
  <c r="N129" i="197"/>
  <c r="D15" i="38"/>
  <c r="N128" i="197"/>
  <c r="D14" i="38"/>
  <c r="N127" i="197"/>
  <c r="D13" i="38"/>
  <c r="N126" i="197"/>
  <c r="D12" i="38"/>
  <c r="N125" i="197"/>
  <c r="D11" i="38"/>
  <c r="N124" i="197"/>
  <c r="D10" i="38"/>
  <c r="N123" i="197"/>
  <c r="D18" i="37"/>
  <c r="N122" i="197"/>
  <c r="D17" i="37"/>
  <c r="N121" i="197"/>
  <c r="D14" i="37"/>
  <c r="N120" i="197"/>
  <c r="D13" i="37"/>
  <c r="N119" i="197"/>
  <c r="D12" i="37"/>
  <c r="N118" i="197"/>
  <c r="D11" i="37"/>
  <c r="N117" i="197"/>
  <c r="D10" i="37"/>
  <c r="N116" i="197"/>
  <c r="D23" i="108"/>
  <c r="N115" i="197"/>
  <c r="D22" i="108"/>
  <c r="N114" i="197"/>
  <c r="D19" i="108"/>
  <c r="N113" i="197"/>
  <c r="D18" i="108"/>
  <c r="N112" i="197"/>
  <c r="D15" i="108"/>
  <c r="N111" i="197"/>
  <c r="D14" i="108"/>
  <c r="N110" i="197"/>
  <c r="D13" i="108"/>
  <c r="N109" i="197"/>
  <c r="D12" i="108"/>
  <c r="N108" i="197"/>
  <c r="D11" i="108"/>
  <c r="N107" i="197"/>
  <c r="D10" i="108"/>
  <c r="N106" i="197"/>
  <c r="D23" i="109"/>
  <c r="N105" i="197"/>
  <c r="D22" i="109"/>
  <c r="N104" i="197"/>
  <c r="D19" i="109"/>
  <c r="N103" i="197"/>
  <c r="D18" i="109"/>
  <c r="N102" i="197"/>
  <c r="D15" i="109"/>
  <c r="N101" i="197"/>
  <c r="D14" i="109"/>
  <c r="N100" i="197"/>
  <c r="D13" i="109"/>
  <c r="N99" i="197"/>
  <c r="D12" i="109"/>
  <c r="N98" i="197"/>
  <c r="D11" i="109"/>
  <c r="N97" i="197"/>
  <c r="D10" i="109"/>
  <c r="N96" i="197"/>
  <c r="D19" i="107"/>
  <c r="N95" i="197"/>
  <c r="D18" i="107"/>
  <c r="N94" i="197"/>
  <c r="D15" i="107"/>
  <c r="N93" i="197"/>
  <c r="D14" i="107"/>
  <c r="N92" i="197"/>
  <c r="D13" i="107"/>
  <c r="N91" i="197"/>
  <c r="D12" i="107"/>
  <c r="N90" i="197"/>
  <c r="D11" i="107"/>
  <c r="N89" i="197"/>
  <c r="D10" i="107"/>
  <c r="N88" i="197"/>
  <c r="D18" i="106"/>
  <c r="N87" i="197"/>
  <c r="D17" i="106"/>
  <c r="N86" i="197"/>
  <c r="D14" i="106"/>
  <c r="N85" i="197"/>
  <c r="D13" i="106"/>
  <c r="N84" i="197"/>
  <c r="D12" i="106"/>
  <c r="N83" i="197"/>
  <c r="D11" i="106"/>
  <c r="N82" i="197"/>
  <c r="D10" i="106"/>
  <c r="N81" i="197"/>
  <c r="D17" i="67"/>
  <c r="N80" i="197"/>
  <c r="D16" i="67"/>
  <c r="N79" i="197"/>
  <c r="D13" i="67"/>
  <c r="N78" i="197"/>
  <c r="D12" i="67"/>
  <c r="N77" i="197"/>
  <c r="D11" i="67"/>
  <c r="N76" i="197"/>
  <c r="D10" i="67"/>
  <c r="N75" i="197"/>
  <c r="D17" i="5"/>
  <c r="N74" i="197"/>
  <c r="D16" i="5"/>
  <c r="N73" i="197"/>
  <c r="D13" i="5"/>
  <c r="N72" i="197"/>
  <c r="D12" i="5"/>
  <c r="N71" i="197"/>
  <c r="D11" i="5"/>
  <c r="N70" i="197"/>
  <c r="D10" i="5"/>
  <c r="N69" i="197"/>
  <c r="D17" i="4"/>
  <c r="N68" i="197"/>
  <c r="D16" i="4"/>
  <c r="N67" i="197"/>
  <c r="D13" i="4"/>
  <c r="N66" i="197"/>
  <c r="D12" i="4"/>
  <c r="N65" i="197"/>
  <c r="D11" i="4"/>
  <c r="N64" i="197"/>
  <c r="D10" i="4"/>
  <c r="N63" i="197"/>
  <c r="D17" i="3"/>
  <c r="N62" i="197"/>
  <c r="D16" i="3"/>
  <c r="N61" i="197"/>
  <c r="D13" i="3"/>
  <c r="N60" i="197"/>
  <c r="D12" i="3"/>
  <c r="N59" i="197"/>
  <c r="D11" i="3"/>
  <c r="N58" i="197"/>
  <c r="D10" i="3"/>
  <c r="N57" i="197"/>
  <c r="D16" i="2"/>
  <c r="N56" i="197"/>
  <c r="D15" i="2"/>
  <c r="N55" i="197"/>
  <c r="D12" i="2"/>
  <c r="N54" i="197"/>
  <c r="D11" i="2"/>
  <c r="N53" i="197"/>
  <c r="D10" i="2"/>
  <c r="N52" i="197"/>
  <c r="D15" i="1"/>
  <c r="N51" i="197"/>
  <c r="D14" i="1"/>
  <c r="N50" i="197"/>
  <c r="D11" i="1"/>
  <c r="N49" i="197"/>
  <c r="D10" i="1"/>
  <c r="N48" i="197"/>
  <c r="D21" i="134"/>
  <c r="N47" i="197"/>
  <c r="D20" i="134"/>
  <c r="N46" i="197"/>
  <c r="D17" i="134"/>
  <c r="N45" i="197"/>
  <c r="D16" i="134"/>
  <c r="N44" i="197"/>
  <c r="D13" i="134"/>
  <c r="N43" i="197"/>
  <c r="D12" i="134"/>
  <c r="N42" i="197"/>
  <c r="D11" i="134"/>
  <c r="N41" i="197"/>
  <c r="N40" i="197"/>
  <c r="D10" i="146"/>
  <c r="N39" i="197"/>
  <c r="D23" i="95"/>
  <c r="N38" i="197"/>
  <c r="D22" i="95"/>
  <c r="N37" i="197"/>
  <c r="D19" i="95"/>
  <c r="N36" i="197"/>
  <c r="D18" i="95"/>
  <c r="N35" i="197"/>
  <c r="D15" i="95"/>
  <c r="N34" i="197"/>
  <c r="D14" i="95"/>
  <c r="N33" i="197"/>
  <c r="D13" i="95"/>
  <c r="N32" i="197"/>
  <c r="D12" i="95"/>
  <c r="N31" i="197"/>
  <c r="D11" i="95"/>
  <c r="N30" i="197"/>
  <c r="D10" i="95"/>
  <c r="N29" i="197"/>
  <c r="D23" i="96"/>
  <c r="N28" i="197"/>
  <c r="D22" i="96"/>
  <c r="N27" i="197"/>
  <c r="D19" i="96"/>
  <c r="N26" i="197"/>
  <c r="D18" i="96"/>
  <c r="N25" i="197"/>
  <c r="D15" i="96"/>
  <c r="N24" i="197"/>
  <c r="D14" i="96"/>
  <c r="N23" i="197"/>
  <c r="D13" i="96"/>
  <c r="N22" i="197"/>
  <c r="D12" i="96"/>
  <c r="N21" i="197"/>
  <c r="D11" i="96"/>
  <c r="N20" i="197"/>
  <c r="D10" i="96"/>
  <c r="N19" i="197"/>
  <c r="D19" i="190"/>
  <c r="N18" i="197"/>
  <c r="D18" i="190"/>
  <c r="N17" i="197"/>
  <c r="D15" i="190"/>
  <c r="N16" i="197"/>
  <c r="D14" i="190"/>
  <c r="N15" i="197"/>
  <c r="D13" i="190"/>
  <c r="N14" i="197"/>
  <c r="D12" i="190"/>
  <c r="N13" i="197"/>
  <c r="D11" i="190"/>
  <c r="N12" i="197"/>
  <c r="D10" i="190"/>
  <c r="N11" i="197"/>
  <c r="D18" i="68"/>
  <c r="N10" i="197"/>
  <c r="D17" i="68"/>
  <c r="N9" i="197"/>
  <c r="D14" i="68"/>
  <c r="N8" i="197"/>
  <c r="D13" i="68"/>
  <c r="N7" i="197"/>
  <c r="D12" i="68"/>
  <c r="N6" i="197"/>
  <c r="D11" i="68"/>
  <c r="N5" i="197"/>
  <c r="N4" i="197"/>
  <c r="D10" i="68" l="1"/>
  <c r="D22" i="88"/>
  <c r="D19" i="88"/>
  <c r="D18" i="88"/>
  <c r="D15" i="88"/>
  <c r="D10" i="134"/>
  <c r="A1" i="190" l="1" a="1"/>
  <c r="A1" i="190" s="1"/>
  <c r="A1" i="96" a="1"/>
  <c r="A1" i="96" s="1"/>
  <c r="A1" i="95" a="1"/>
  <c r="A1" i="95" s="1"/>
  <c r="A1" i="146" a="1"/>
  <c r="A1" i="146" s="1"/>
  <c r="A1" i="134" a="1"/>
  <c r="A1" i="134" s="1"/>
  <c r="A1" i="1" a="1"/>
  <c r="A1" i="1" s="1"/>
  <c r="A1" i="2" a="1"/>
  <c r="A1" i="2" s="1"/>
  <c r="A1" i="3" a="1"/>
  <c r="A1" i="3" s="1"/>
  <c r="A1" i="4" a="1"/>
  <c r="A1" i="4" s="1"/>
  <c r="A1" i="5" a="1"/>
  <c r="A1" i="5" s="1"/>
  <c r="A1" i="67" a="1"/>
  <c r="A1" i="67" s="1"/>
  <c r="A1" i="106" a="1"/>
  <c r="A1" i="106" s="1"/>
  <c r="A1" i="107" a="1"/>
  <c r="A1" i="107" s="1"/>
  <c r="A1" i="109" a="1"/>
  <c r="A1" i="109" s="1"/>
  <c r="A1" i="108" a="1"/>
  <c r="A1" i="108" s="1"/>
  <c r="A1" i="37" a="1"/>
  <c r="A1" i="37" s="1"/>
  <c r="A1" i="38" a="1"/>
  <c r="A1" i="38" s="1"/>
  <c r="A1" i="91" a="1"/>
  <c r="A1" i="91" s="1"/>
  <c r="A1" i="39" a="1"/>
  <c r="A1" i="39" s="1"/>
  <c r="A1" i="150" a="1"/>
  <c r="A1" i="150" s="1"/>
  <c r="A1" i="66" a="1"/>
  <c r="A1" i="66" s="1"/>
  <c r="A1" i="60" a="1"/>
  <c r="A1" i="60" s="1"/>
  <c r="A1" i="46" a="1"/>
  <c r="A1" i="46" s="1"/>
  <c r="A1" i="47" a="1"/>
  <c r="A1" i="47" s="1"/>
  <c r="A1" i="162" a="1"/>
  <c r="A1" i="162" s="1"/>
  <c r="A1" i="126" a="1"/>
  <c r="A1" i="126" s="1"/>
  <c r="A1" i="127" a="1"/>
  <c r="A1" i="127" s="1"/>
  <c r="A1" i="128" a="1"/>
  <c r="A1" i="128" s="1"/>
  <c r="A1" i="83" a="1"/>
  <c r="A1" i="83" s="1"/>
  <c r="A1" i="78" a="1"/>
  <c r="A1" i="78" s="1"/>
  <c r="A1" i="133" a="1"/>
  <c r="A1" i="133" s="1"/>
  <c r="A1" i="76" a="1"/>
  <c r="A1" i="76" s="1"/>
  <c r="A1" i="144" a="1"/>
  <c r="A1" i="144" s="1"/>
  <c r="A1" i="77" a="1"/>
  <c r="A1" i="77" s="1"/>
  <c r="A1" i="191" a="1"/>
  <c r="A1" i="191" s="1"/>
  <c r="A1" i="79" a="1"/>
  <c r="A1" i="79" s="1"/>
  <c r="A1" i="80" a="1"/>
  <c r="A1" i="80" s="1"/>
  <c r="A1" i="6" a="1"/>
  <c r="A1" i="6" s="1"/>
  <c r="A1" i="84" a="1"/>
  <c r="A1" i="84" s="1"/>
  <c r="A1" i="87" a="1"/>
  <c r="A1" i="87" s="1"/>
  <c r="A1" i="8" a="1"/>
  <c r="A1" i="8" s="1"/>
  <c r="A1" i="122" a="1"/>
  <c r="A1" i="122" s="1"/>
  <c r="A1" i="123" a="1"/>
  <c r="A1" i="123" s="1"/>
  <c r="A1" i="124" a="1"/>
  <c r="A1" i="124" s="1"/>
  <c r="A1" i="125" a="1"/>
  <c r="A1" i="125" s="1"/>
  <c r="A1" i="149" a="1"/>
  <c r="A1" i="149" s="1"/>
  <c r="A1" i="9" a="1"/>
  <c r="A1" i="9" s="1"/>
  <c r="A1" i="14" a="1"/>
  <c r="A1" i="14" s="1"/>
  <c r="A1" i="15" a="1"/>
  <c r="A1" i="15" s="1"/>
  <c r="A1" i="11" a="1"/>
  <c r="A1" i="11" s="1"/>
  <c r="A1" i="10" a="1"/>
  <c r="A1" i="10" s="1"/>
  <c r="A1" i="12" a="1"/>
  <c r="A1" i="12" s="1"/>
  <c r="A1" i="13" a="1"/>
  <c r="A1" i="13" s="1"/>
  <c r="A1" i="18" a="1"/>
  <c r="A1" i="18" s="1"/>
  <c r="A1" i="19" a="1"/>
  <c r="A1" i="19" s="1"/>
  <c r="A1" i="88" a="1"/>
  <c r="A1" i="88" s="1"/>
  <c r="A1" i="20" a="1"/>
  <c r="A1" i="20" s="1"/>
  <c r="A1" i="186" a="1"/>
  <c r="A1" i="186" s="1"/>
  <c r="A1" i="187" a="1"/>
  <c r="A1" i="187" s="1"/>
  <c r="A1" i="188" a="1"/>
  <c r="A1" i="188" s="1"/>
  <c r="A1" i="189" a="1"/>
  <c r="A1" i="189" s="1"/>
  <c r="A1" i="148" a="1"/>
  <c r="A1" i="148" s="1"/>
  <c r="A1" i="89" a="1"/>
  <c r="A1" i="89" s="1"/>
  <c r="A1" i="16" a="1"/>
  <c r="A1" i="16" s="1"/>
  <c r="A1" i="17" a="1"/>
  <c r="A1" i="17" s="1"/>
  <c r="A1" i="21" a="1"/>
  <c r="A1" i="21" s="1"/>
  <c r="A1" i="22" a="1"/>
  <c r="A1" i="22" s="1"/>
  <c r="A1" i="23" a="1"/>
  <c r="A1" i="23" s="1"/>
  <c r="A1" i="24" a="1"/>
  <c r="A1" i="24" s="1"/>
  <c r="A1" i="90" a="1"/>
  <c r="A1" i="90" s="1"/>
  <c r="A1" i="25" a="1"/>
  <c r="A1" i="25" s="1"/>
  <c r="A1" i="147" a="1"/>
  <c r="A1" i="147" s="1"/>
  <c r="A1" i="26" a="1"/>
  <c r="A1" i="26" s="1"/>
  <c r="A1" i="27" a="1"/>
  <c r="A1" i="27" s="1"/>
  <c r="A1" i="85" a="1"/>
  <c r="A1" i="85" s="1"/>
  <c r="A1" i="86" a="1"/>
  <c r="A1" i="86" s="1"/>
  <c r="A1" i="81" a="1"/>
  <c r="A1" i="81" s="1"/>
  <c r="A1" i="82" a="1"/>
  <c r="A1" i="82" s="1"/>
  <c r="A1" i="132" a="1"/>
  <c r="A1" i="132" s="1"/>
  <c r="A1" i="131" a="1"/>
  <c r="A1" i="131" s="1"/>
  <c r="A1" i="73" a="1"/>
  <c r="A1" i="73" s="1"/>
  <c r="A1" i="35" a="1"/>
  <c r="A1" i="35" s="1"/>
  <c r="A1" i="36" a="1"/>
  <c r="A1" i="36" s="1"/>
  <c r="A1" i="140" a="1"/>
  <c r="A1" i="140" s="1"/>
  <c r="A1" i="68" a="1"/>
  <c r="A1" i="68" s="1"/>
  <c r="A476" i="197" l="1"/>
  <c r="A290" i="197"/>
  <c r="A69" i="197"/>
  <c r="A652" i="197"/>
  <c r="A283" i="197"/>
  <c r="A458" i="197"/>
  <c r="A276" i="197"/>
  <c r="A353" i="197"/>
  <c r="A261" i="197"/>
  <c r="A131" i="197"/>
  <c r="A123" i="197"/>
  <c r="A592" i="197"/>
  <c r="A251" i="197"/>
  <c r="A116" i="197"/>
  <c r="A326" i="197"/>
  <c r="A241" i="197"/>
  <c r="A106" i="197"/>
  <c r="A232" i="197"/>
  <c r="A96" i="197"/>
  <c r="A448" i="197"/>
  <c r="A388" i="197"/>
  <c r="A389" i="197"/>
  <c r="A260" i="197"/>
  <c r="A151" i="197"/>
  <c r="A507" i="197"/>
  <c r="A506" i="197"/>
  <c r="A573" i="197"/>
  <c r="A39" i="197"/>
  <c r="A390" i="197"/>
  <c r="A318" i="197"/>
  <c r="A322" i="197"/>
  <c r="A323" i="197"/>
  <c r="A324" i="197"/>
  <c r="A320" i="197"/>
  <c r="A321" i="197"/>
  <c r="A325" i="197"/>
  <c r="A319" i="197"/>
  <c r="A406" i="197"/>
  <c r="A405" i="197"/>
  <c r="A407" i="197"/>
  <c r="A404" i="197"/>
  <c r="A435" i="197"/>
  <c r="A437" i="197"/>
  <c r="A432" i="197"/>
  <c r="A433" i="197"/>
  <c r="A438" i="197"/>
  <c r="A436" i="197"/>
  <c r="A434" i="197"/>
  <c r="A354" i="197"/>
  <c r="A356" i="197"/>
  <c r="A358" i="197"/>
  <c r="A359" i="197"/>
  <c r="A360" i="197"/>
  <c r="A355" i="197"/>
  <c r="A357" i="197"/>
  <c r="A267" i="197"/>
  <c r="A268" i="197"/>
  <c r="A262" i="197"/>
  <c r="A263" i="197"/>
  <c r="A265" i="197"/>
  <c r="A266" i="197"/>
  <c r="A264" i="197"/>
  <c r="A157" i="197"/>
  <c r="A158" i="197"/>
  <c r="A159" i="197"/>
  <c r="A160" i="197"/>
  <c r="A71" i="197"/>
  <c r="A70" i="197"/>
  <c r="A72" i="197"/>
  <c r="A73" i="197"/>
  <c r="A74" i="197"/>
  <c r="A579" i="197"/>
  <c r="A574" i="197"/>
  <c r="A575" i="197"/>
  <c r="A576" i="197"/>
  <c r="A577" i="197"/>
  <c r="A578" i="197"/>
  <c r="A593" i="197"/>
  <c r="A594" i="197"/>
  <c r="A595" i="197"/>
  <c r="A596" i="197"/>
  <c r="A597" i="197"/>
  <c r="A513" i="197"/>
  <c r="A514" i="197"/>
  <c r="A515" i="197"/>
  <c r="A516" i="197"/>
  <c r="A427" i="197"/>
  <c r="A430" i="197"/>
  <c r="A426" i="197"/>
  <c r="A429" i="197"/>
  <c r="A428" i="197"/>
  <c r="A431" i="197"/>
  <c r="A352" i="197"/>
  <c r="A346" i="197"/>
  <c r="A347" i="197"/>
  <c r="A348" i="197"/>
  <c r="A350" i="197"/>
  <c r="A345" i="197"/>
  <c r="A351" i="197"/>
  <c r="A349" i="197"/>
  <c r="A344" i="197"/>
  <c r="A155" i="197"/>
  <c r="A156" i="197"/>
  <c r="A153" i="197"/>
  <c r="A154" i="197"/>
  <c r="A152" i="197"/>
  <c r="A64" i="197"/>
  <c r="A65" i="197"/>
  <c r="A66" i="197"/>
  <c r="A67" i="197"/>
  <c r="A68" i="197"/>
  <c r="A63" i="197"/>
  <c r="A237" i="197"/>
  <c r="A238" i="197"/>
  <c r="A239" i="197"/>
  <c r="A240" i="197"/>
  <c r="A233" i="197"/>
  <c r="A234" i="197"/>
  <c r="A235" i="197"/>
  <c r="A236" i="197"/>
  <c r="A603" i="197"/>
  <c r="A604" i="197"/>
  <c r="A605" i="197"/>
  <c r="A606" i="197"/>
  <c r="A602" i="197"/>
  <c r="A521" i="197"/>
  <c r="A522" i="197"/>
  <c r="A523" i="197"/>
  <c r="A524" i="197"/>
  <c r="A517" i="197"/>
  <c r="A518" i="197"/>
  <c r="A519" i="197"/>
  <c r="A520" i="197"/>
  <c r="A591" i="197"/>
  <c r="A586" i="197"/>
  <c r="A587" i="197"/>
  <c r="A588" i="197"/>
  <c r="A589" i="197"/>
  <c r="A590" i="197"/>
  <c r="A509" i="197"/>
  <c r="A510" i="197"/>
  <c r="A511" i="197"/>
  <c r="A512" i="197"/>
  <c r="A508" i="197"/>
  <c r="A423" i="197"/>
  <c r="A425" i="197"/>
  <c r="A420" i="197"/>
  <c r="A421" i="197"/>
  <c r="A424" i="197"/>
  <c r="A422" i="197"/>
  <c r="A340" i="197"/>
  <c r="A342" i="197"/>
  <c r="A335" i="197"/>
  <c r="A336" i="197"/>
  <c r="A341" i="197"/>
  <c r="A339" i="197"/>
  <c r="A343" i="197"/>
  <c r="A337" i="197"/>
  <c r="A338" i="197"/>
  <c r="A255" i="197"/>
  <c r="A256" i="197"/>
  <c r="A258" i="197"/>
  <c r="A253" i="197"/>
  <c r="A259" i="197"/>
  <c r="A254" i="197"/>
  <c r="A252" i="197"/>
  <c r="A257" i="197"/>
  <c r="A58" i="197"/>
  <c r="A59" i="197"/>
  <c r="A60" i="197"/>
  <c r="A61" i="197"/>
  <c r="A62" i="197"/>
  <c r="A57" i="197"/>
  <c r="A598" i="197"/>
  <c r="A599" i="197"/>
  <c r="A600" i="197"/>
  <c r="A601" i="197"/>
  <c r="A580" i="197"/>
  <c r="A581" i="197"/>
  <c r="A582" i="197"/>
  <c r="A583" i="197"/>
  <c r="A584" i="197"/>
  <c r="A585" i="197"/>
  <c r="A415" i="197"/>
  <c r="A418" i="197"/>
  <c r="A416" i="197"/>
  <c r="A419" i="197"/>
  <c r="A414" i="197"/>
  <c r="A417" i="197"/>
  <c r="A328" i="197"/>
  <c r="A330" i="197"/>
  <c r="A334" i="197"/>
  <c r="A329" i="197"/>
  <c r="A333" i="197"/>
  <c r="A327" i="197"/>
  <c r="A331" i="197"/>
  <c r="A332" i="197"/>
  <c r="A248" i="197"/>
  <c r="A249" i="197"/>
  <c r="A250" i="197"/>
  <c r="A246" i="197"/>
  <c r="A247" i="197"/>
  <c r="A242" i="197"/>
  <c r="A243" i="197"/>
  <c r="A244" i="197"/>
  <c r="A245" i="197"/>
  <c r="A143" i="197"/>
  <c r="A144" i="197"/>
  <c r="A145" i="197"/>
  <c r="A146" i="197"/>
  <c r="A147" i="197"/>
  <c r="A148" i="197"/>
  <c r="A149" i="197"/>
  <c r="A150" i="197"/>
  <c r="A141" i="197"/>
  <c r="A142" i="197"/>
  <c r="A56" i="197"/>
  <c r="A52" i="197"/>
  <c r="A55" i="197"/>
  <c r="A53" i="197"/>
  <c r="A54" i="197"/>
  <c r="A132" i="197"/>
  <c r="A133" i="197"/>
  <c r="A134" i="197"/>
  <c r="A136" i="197"/>
  <c r="A137" i="197"/>
  <c r="A138" i="197"/>
  <c r="A139" i="197"/>
  <c r="A140" i="197"/>
  <c r="A135" i="197"/>
  <c r="A48" i="197"/>
  <c r="A49" i="197"/>
  <c r="A50" i="197"/>
  <c r="A51" i="197"/>
  <c r="A197" i="197"/>
  <c r="A198" i="197"/>
  <c r="A199" i="197"/>
  <c r="A200" i="197"/>
  <c r="A201" i="197"/>
  <c r="A202" i="197"/>
  <c r="A203" i="197"/>
  <c r="B204" i="197" s="1"/>
  <c r="A46" i="197"/>
  <c r="A47" i="197"/>
  <c r="A40" i="197"/>
  <c r="A41" i="197"/>
  <c r="A44" i="197"/>
  <c r="A42" i="197"/>
  <c r="A43" i="197"/>
  <c r="A45" i="197"/>
  <c r="A411" i="197"/>
  <c r="A413" i="197"/>
  <c r="A408" i="197"/>
  <c r="A409" i="197"/>
  <c r="A412" i="197"/>
  <c r="A410" i="197"/>
  <c r="A651" i="197"/>
  <c r="A641" i="197"/>
  <c r="A642" i="197"/>
  <c r="A643" i="197"/>
  <c r="A644" i="197"/>
  <c r="A645" i="197"/>
  <c r="A646" i="197"/>
  <c r="A647" i="197"/>
  <c r="A648" i="197"/>
  <c r="A649" i="197"/>
  <c r="A650" i="197"/>
  <c r="A567" i="197"/>
  <c r="A568" i="197"/>
  <c r="A569" i="197"/>
  <c r="A570" i="197"/>
  <c r="A571" i="197"/>
  <c r="A572" i="197"/>
  <c r="A565" i="197"/>
  <c r="A566" i="197"/>
  <c r="A486" i="197"/>
  <c r="A487" i="197"/>
  <c r="A488" i="197"/>
  <c r="A489" i="197"/>
  <c r="A490" i="197"/>
  <c r="A491" i="197"/>
  <c r="A492" i="197"/>
  <c r="A493" i="197"/>
  <c r="A494" i="197"/>
  <c r="A495" i="197"/>
  <c r="A401" i="197"/>
  <c r="A403" i="197"/>
  <c r="A399" i="197"/>
  <c r="A402" i="197"/>
  <c r="A400" i="197"/>
  <c r="A304" i="197"/>
  <c r="A306" i="197"/>
  <c r="A310" i="197"/>
  <c r="A308" i="197"/>
  <c r="A305" i="197"/>
  <c r="A309" i="197"/>
  <c r="A307" i="197"/>
  <c r="A119" i="197"/>
  <c r="A121" i="197"/>
  <c r="A122" i="197"/>
  <c r="A117" i="197"/>
  <c r="A120" i="197"/>
  <c r="A118" i="197"/>
  <c r="A639" i="197"/>
  <c r="A640" i="197"/>
  <c r="A630" i="197"/>
  <c r="A631" i="197"/>
  <c r="A632" i="197"/>
  <c r="A633" i="197"/>
  <c r="A634" i="197"/>
  <c r="A635" i="197"/>
  <c r="A636" i="197"/>
  <c r="A637" i="197"/>
  <c r="A638" i="197"/>
  <c r="A557" i="197"/>
  <c r="A558" i="197"/>
  <c r="A559" i="197"/>
  <c r="A560" i="197"/>
  <c r="A561" i="197"/>
  <c r="A562" i="197"/>
  <c r="A563" i="197"/>
  <c r="A564" i="197"/>
  <c r="A485" i="197"/>
  <c r="A477" i="197"/>
  <c r="A478" i="197"/>
  <c r="A479" i="197"/>
  <c r="A480" i="197"/>
  <c r="A481" i="197"/>
  <c r="A482" i="197"/>
  <c r="A483" i="197"/>
  <c r="A484" i="197"/>
  <c r="A391" i="197"/>
  <c r="A394" i="197"/>
  <c r="A396" i="197"/>
  <c r="A397" i="197"/>
  <c r="A393" i="197"/>
  <c r="A398" i="197"/>
  <c r="A395" i="197"/>
  <c r="A392" i="197"/>
  <c r="A298" i="197"/>
  <c r="A299" i="197"/>
  <c r="A300" i="197"/>
  <c r="A302" i="197"/>
  <c r="A303" i="197"/>
  <c r="A297" i="197"/>
  <c r="A301" i="197"/>
  <c r="A107" i="197"/>
  <c r="A109" i="197"/>
  <c r="A110" i="197"/>
  <c r="A112" i="197"/>
  <c r="A113" i="197"/>
  <c r="A114" i="197"/>
  <c r="A115" i="197"/>
  <c r="A111" i="197"/>
  <c r="A108" i="197"/>
  <c r="A34" i="197"/>
  <c r="A31" i="197"/>
  <c r="A32" i="197"/>
  <c r="A35" i="197"/>
  <c r="A36" i="197"/>
  <c r="A37" i="197"/>
  <c r="A38" i="197"/>
  <c r="A29" i="197"/>
  <c r="A30" i="197"/>
  <c r="A33" i="197"/>
  <c r="A124" i="197"/>
  <c r="A125" i="197"/>
  <c r="A126" i="197"/>
  <c r="A127" i="197"/>
  <c r="A128" i="197"/>
  <c r="A129" i="197"/>
  <c r="A130" i="197"/>
  <c r="A473" i="197"/>
  <c r="A474" i="197"/>
  <c r="A475" i="197"/>
  <c r="A469" i="197"/>
  <c r="A470" i="197"/>
  <c r="A471" i="197"/>
  <c r="A472" i="197"/>
  <c r="A294" i="197"/>
  <c r="A293" i="197"/>
  <c r="A295" i="197"/>
  <c r="A296" i="197"/>
  <c r="A291" i="197"/>
  <c r="A292" i="197"/>
  <c r="A97" i="197"/>
  <c r="A100" i="197"/>
  <c r="A101" i="197"/>
  <c r="A102" i="197"/>
  <c r="A103" i="197"/>
  <c r="A105" i="197"/>
  <c r="A98" i="197"/>
  <c r="A99" i="197"/>
  <c r="A104" i="197"/>
  <c r="A22" i="197"/>
  <c r="A20" i="197"/>
  <c r="A23" i="197"/>
  <c r="A24" i="197"/>
  <c r="A25" i="197"/>
  <c r="A26" i="197"/>
  <c r="A19" i="197"/>
  <c r="A27" i="197"/>
  <c r="A28" i="197"/>
  <c r="A21" i="197"/>
  <c r="A316" i="197"/>
  <c r="A311" i="197"/>
  <c r="A312" i="197"/>
  <c r="A314" i="197"/>
  <c r="A317" i="197"/>
  <c r="A315" i="197"/>
  <c r="A313" i="197"/>
  <c r="A555" i="197"/>
  <c r="A556" i="197"/>
  <c r="A549" i="197"/>
  <c r="A550" i="197"/>
  <c r="A551" i="197"/>
  <c r="A552" i="197"/>
  <c r="A553" i="197"/>
  <c r="A554" i="197"/>
  <c r="A543" i="197"/>
  <c r="A544" i="197"/>
  <c r="A545" i="197"/>
  <c r="A546" i="197"/>
  <c r="A547" i="197"/>
  <c r="A548" i="197"/>
  <c r="A542" i="197"/>
  <c r="A461" i="197"/>
  <c r="A462" i="197"/>
  <c r="A463" i="197"/>
  <c r="A464" i="197"/>
  <c r="A465" i="197"/>
  <c r="A466" i="197"/>
  <c r="A467" i="197"/>
  <c r="A468" i="197"/>
  <c r="A459" i="197"/>
  <c r="A460" i="197"/>
  <c r="A387" i="197"/>
  <c r="A380" i="197"/>
  <c r="A382" i="197"/>
  <c r="A383" i="197"/>
  <c r="A385" i="197"/>
  <c r="A379" i="197"/>
  <c r="A386" i="197"/>
  <c r="A384" i="197"/>
  <c r="A381" i="197"/>
  <c r="A286" i="197"/>
  <c r="A287" i="197"/>
  <c r="A289" i="197"/>
  <c r="A284" i="197"/>
  <c r="A285" i="197"/>
  <c r="A288" i="197"/>
  <c r="A95" i="197"/>
  <c r="A88" i="197"/>
  <c r="A89" i="197"/>
  <c r="A90" i="197"/>
  <c r="A91" i="197"/>
  <c r="A94" i="197"/>
  <c r="A92" i="197"/>
  <c r="A93" i="197"/>
  <c r="A11" i="197"/>
  <c r="A12" i="197"/>
  <c r="A13" i="197"/>
  <c r="A14" i="197"/>
  <c r="A15" i="197"/>
  <c r="A16" i="197"/>
  <c r="A17" i="197"/>
  <c r="A18" i="197"/>
  <c r="A653" i="197"/>
  <c r="A654" i="197"/>
  <c r="A655" i="197"/>
  <c r="A656" i="197"/>
  <c r="A657" i="197"/>
  <c r="A658" i="197"/>
  <c r="A659" i="197"/>
  <c r="A660" i="197"/>
  <c r="A661" i="197"/>
  <c r="A497" i="197"/>
  <c r="A498" i="197"/>
  <c r="A499" i="197"/>
  <c r="A500" i="197"/>
  <c r="A501" i="197"/>
  <c r="A502" i="197"/>
  <c r="A503" i="197"/>
  <c r="A504" i="197"/>
  <c r="A505" i="197"/>
  <c r="A496" i="197"/>
  <c r="A627" i="197"/>
  <c r="A628" i="197"/>
  <c r="A629" i="197"/>
  <c r="A623" i="197"/>
  <c r="A624" i="197"/>
  <c r="A625" i="197"/>
  <c r="A626" i="197"/>
  <c r="A615" i="197"/>
  <c r="A616" i="197"/>
  <c r="A617" i="197"/>
  <c r="A618" i="197"/>
  <c r="A619" i="197"/>
  <c r="A620" i="197"/>
  <c r="A621" i="197"/>
  <c r="A622" i="197"/>
  <c r="A607" i="197"/>
  <c r="A608" i="197"/>
  <c r="A609" i="197"/>
  <c r="A610" i="197"/>
  <c r="A611" i="197"/>
  <c r="A612" i="197"/>
  <c r="A613" i="197"/>
  <c r="A614" i="197"/>
  <c r="A534" i="197"/>
  <c r="A536" i="197"/>
  <c r="A537" i="197"/>
  <c r="A538" i="197"/>
  <c r="A539" i="197"/>
  <c r="A540" i="197"/>
  <c r="A541" i="197"/>
  <c r="A535" i="197"/>
  <c r="A450" i="197"/>
  <c r="A451" i="197"/>
  <c r="A452" i="197"/>
  <c r="A453" i="197"/>
  <c r="A454" i="197"/>
  <c r="A455" i="197"/>
  <c r="A456" i="197"/>
  <c r="A457" i="197"/>
  <c r="A449" i="197"/>
  <c r="A377" i="197"/>
  <c r="A375" i="197"/>
  <c r="A376" i="197"/>
  <c r="A370" i="197"/>
  <c r="A371" i="197"/>
  <c r="A372" i="197"/>
  <c r="A374" i="197"/>
  <c r="A378" i="197"/>
  <c r="A373" i="197"/>
  <c r="A282" i="197"/>
  <c r="A280" i="197"/>
  <c r="A281" i="197"/>
  <c r="A277" i="197"/>
  <c r="A278" i="197"/>
  <c r="A279" i="197"/>
  <c r="A168" i="197"/>
  <c r="A169" i="197"/>
  <c r="A170" i="197"/>
  <c r="A171" i="197"/>
  <c r="A172" i="197"/>
  <c r="B173" i="197" s="1"/>
  <c r="A167" i="197"/>
  <c r="A85" i="197"/>
  <c r="A81" i="197"/>
  <c r="A86" i="197"/>
  <c r="A82" i="197"/>
  <c r="A87" i="197"/>
  <c r="A83" i="197"/>
  <c r="A84" i="197"/>
  <c r="A10" i="197"/>
  <c r="A4" i="197"/>
  <c r="A5" i="197"/>
  <c r="A8" i="197"/>
  <c r="A6" i="197"/>
  <c r="A7" i="197"/>
  <c r="A9" i="197"/>
  <c r="A447" i="197"/>
  <c r="A439" i="197"/>
  <c r="A441" i="197"/>
  <c r="A442" i="197"/>
  <c r="A444" i="197"/>
  <c r="A445" i="197"/>
  <c r="A440" i="197"/>
  <c r="A443" i="197"/>
  <c r="A446" i="197"/>
  <c r="A364" i="197"/>
  <c r="A365" i="197"/>
  <c r="A366" i="197"/>
  <c r="A367" i="197"/>
  <c r="A368" i="197"/>
  <c r="A369" i="197"/>
  <c r="A362" i="197"/>
  <c r="A363" i="197"/>
  <c r="A361" i="197"/>
  <c r="A275" i="197"/>
  <c r="A269" i="197"/>
  <c r="A270" i="197"/>
  <c r="A272" i="197"/>
  <c r="A273" i="197"/>
  <c r="A274" i="197"/>
  <c r="A271" i="197"/>
  <c r="A161" i="197"/>
  <c r="A162" i="197"/>
  <c r="A163" i="197"/>
  <c r="A164" i="197"/>
  <c r="A165" i="197"/>
  <c r="A166" i="197"/>
  <c r="A76" i="197"/>
  <c r="A77" i="197"/>
  <c r="A78" i="197"/>
  <c r="A79" i="197"/>
  <c r="A80" i="197"/>
  <c r="A75" i="197"/>
  <c r="D507" i="197" a="1"/>
  <c r="D506" i="197" a="1"/>
  <c r="D390" i="197" a="1"/>
  <c r="D458" i="197" a="1"/>
  <c r="D151" i="197" a="1"/>
  <c r="D190" i="197" a="1"/>
  <c r="E388" i="197" a="1"/>
  <c r="D388" i="197" a="1"/>
  <c r="D448" i="197" a="1"/>
  <c r="E190" i="197" a="1"/>
  <c r="E573" i="197" a="1"/>
  <c r="D39" i="197" a="1"/>
  <c r="E458" i="197" a="1"/>
  <c r="B69" i="197" l="1"/>
  <c r="B117" i="197"/>
  <c r="B326" i="197"/>
  <c r="B291" i="197"/>
  <c r="B242" i="197"/>
  <c r="B70" i="197"/>
  <c r="B353" i="197"/>
  <c r="B284" i="197"/>
  <c r="B477" i="197"/>
  <c r="B132" i="197"/>
  <c r="B97" i="197"/>
  <c r="B124" i="197"/>
  <c r="B262" i="197"/>
  <c r="B354" i="197"/>
  <c r="B653" i="197"/>
  <c r="B107" i="197"/>
  <c r="B252" i="197"/>
  <c r="B233" i="197"/>
  <c r="B593" i="197"/>
  <c r="B277" i="197"/>
  <c r="B327" i="197"/>
  <c r="B459" i="197"/>
  <c r="B12" i="197"/>
  <c r="B449" i="197"/>
  <c r="B40" i="197"/>
  <c r="B410" i="197"/>
  <c r="B162" i="197"/>
  <c r="B369" i="197"/>
  <c r="B278" i="197"/>
  <c r="B541" i="197"/>
  <c r="B609" i="197"/>
  <c r="B625" i="197"/>
  <c r="B500" i="197"/>
  <c r="B91" i="197"/>
  <c r="B466" i="197"/>
  <c r="B130" i="197"/>
  <c r="B36" i="197"/>
  <c r="B299" i="197"/>
  <c r="B482" i="197"/>
  <c r="B559" i="197"/>
  <c r="B257" i="197"/>
  <c r="B347" i="197"/>
  <c r="B263" i="197"/>
  <c r="B321" i="197"/>
  <c r="B640" i="197"/>
  <c r="B566" i="197"/>
  <c r="B646" i="197"/>
  <c r="B200" i="197"/>
  <c r="B137" i="197"/>
  <c r="B150" i="197"/>
  <c r="B247" i="197"/>
  <c r="B336" i="197"/>
  <c r="B511" i="197"/>
  <c r="B234" i="197"/>
  <c r="B143" i="197"/>
  <c r="B351" i="197"/>
  <c r="B473" i="197"/>
  <c r="B87" i="197"/>
  <c r="B165" i="197"/>
  <c r="B445" i="197"/>
  <c r="B169" i="197"/>
  <c r="B371" i="197"/>
  <c r="B451" i="197"/>
  <c r="B612" i="197"/>
  <c r="B616" i="197"/>
  <c r="B503" i="197"/>
  <c r="B656" i="197"/>
  <c r="B74" i="197"/>
  <c r="B83" i="197"/>
  <c r="B23" i="197"/>
  <c r="B201" i="197"/>
  <c r="B138" i="197"/>
  <c r="B581" i="197"/>
  <c r="B518" i="197"/>
  <c r="B235" i="197"/>
  <c r="B597" i="197"/>
  <c r="B73" i="197"/>
  <c r="B389" i="197"/>
  <c r="B469" i="197"/>
  <c r="B93" i="197"/>
  <c r="B287" i="197"/>
  <c r="B512" i="197"/>
  <c r="B546" i="197"/>
  <c r="B25" i="197"/>
  <c r="B475" i="197"/>
  <c r="B113" i="197"/>
  <c r="B303" i="197"/>
  <c r="B562" i="197"/>
  <c r="B632" i="197"/>
  <c r="B488" i="197"/>
  <c r="B649" i="197"/>
  <c r="B409" i="197"/>
  <c r="B203" i="197"/>
  <c r="B140" i="197"/>
  <c r="B244" i="197"/>
  <c r="B583" i="197"/>
  <c r="B59" i="197"/>
  <c r="B520" i="197"/>
  <c r="B66" i="197"/>
  <c r="B515" i="197"/>
  <c r="B163" i="197"/>
  <c r="B442" i="197"/>
  <c r="B279" i="197"/>
  <c r="B376" i="197"/>
  <c r="B610" i="197"/>
  <c r="B626" i="197"/>
  <c r="B501" i="197"/>
  <c r="B654" i="197"/>
  <c r="B467" i="197"/>
  <c r="B544" i="197"/>
  <c r="B292" i="197"/>
  <c r="B37" i="197"/>
  <c r="B110" i="197"/>
  <c r="B300" i="197"/>
  <c r="B483" i="197"/>
  <c r="B560" i="197"/>
  <c r="B399" i="197"/>
  <c r="B647" i="197"/>
  <c r="B436" i="197"/>
  <c r="B260" i="197"/>
  <c r="B607" i="197"/>
  <c r="B479" i="197"/>
  <c r="B638" i="197"/>
  <c r="B494" i="197"/>
  <c r="B643" i="197"/>
  <c r="B133" i="197"/>
  <c r="B147" i="197"/>
  <c r="B249" i="197"/>
  <c r="B166" i="197"/>
  <c r="B170" i="197"/>
  <c r="B516" i="197"/>
  <c r="B575" i="197"/>
  <c r="B372" i="197"/>
  <c r="B452" i="197"/>
  <c r="B613" i="197"/>
  <c r="B617" i="197"/>
  <c r="B504" i="197"/>
  <c r="B657" i="197"/>
  <c r="B11" i="197"/>
  <c r="B460" i="197"/>
  <c r="B547" i="197"/>
  <c r="B26" i="197"/>
  <c r="B101" i="197"/>
  <c r="B30" i="197"/>
  <c r="B114" i="197"/>
  <c r="B563" i="197"/>
  <c r="B633" i="197"/>
  <c r="B304" i="197"/>
  <c r="B489" i="197"/>
  <c r="B650" i="197"/>
  <c r="B245" i="197"/>
  <c r="B584" i="197"/>
  <c r="B60" i="197"/>
  <c r="B604" i="197"/>
  <c r="B67" i="197"/>
  <c r="B80" i="197"/>
  <c r="B274" i="197"/>
  <c r="B366" i="197"/>
  <c r="B457" i="197"/>
  <c r="B538" i="197"/>
  <c r="B622" i="197"/>
  <c r="B629" i="197"/>
  <c r="B16" i="197"/>
  <c r="B463" i="197"/>
  <c r="B552" i="197"/>
  <c r="B99" i="197"/>
  <c r="B127" i="197"/>
  <c r="B571" i="197"/>
  <c r="B381" i="197"/>
  <c r="B9" i="197"/>
  <c r="B497" i="197"/>
  <c r="B368" i="197"/>
  <c r="B608" i="197"/>
  <c r="B599" i="197"/>
  <c r="B590" i="197"/>
  <c r="B522" i="197"/>
  <c r="B239" i="197"/>
  <c r="B156" i="197"/>
  <c r="B594" i="197"/>
  <c r="B79" i="197"/>
  <c r="B273" i="197"/>
  <c r="B309" i="197"/>
  <c r="B42" i="197"/>
  <c r="B419" i="197"/>
  <c r="B365" i="197"/>
  <c r="B7" i="197"/>
  <c r="B161" i="197"/>
  <c r="B86" i="197"/>
  <c r="B295" i="197"/>
  <c r="B118" i="197"/>
  <c r="B259" i="197"/>
  <c r="B508" i="197"/>
  <c r="B362" i="197"/>
  <c r="B141" i="197"/>
  <c r="B375" i="197"/>
  <c r="B20" i="197"/>
  <c r="B152" i="197"/>
  <c r="B392" i="197"/>
  <c r="B307" i="197"/>
  <c r="B267" i="197"/>
  <c r="B316" i="197"/>
  <c r="B31" i="197"/>
  <c r="B340" i="197"/>
  <c r="B428" i="197"/>
  <c r="B34" i="197"/>
  <c r="B94" i="197"/>
  <c r="B413" i="197"/>
  <c r="B580" i="197"/>
  <c r="B395" i="197"/>
  <c r="B120" i="197"/>
  <c r="B357" i="197"/>
  <c r="B98" i="197"/>
  <c r="B521" i="197"/>
  <c r="B355" i="197"/>
  <c r="B435" i="197"/>
  <c r="B6" i="197"/>
  <c r="B288" i="197"/>
  <c r="B57" i="197"/>
  <c r="B424" i="197"/>
  <c r="B237" i="197"/>
  <c r="B344" i="197"/>
  <c r="B330" i="197"/>
  <c r="B314" i="197"/>
  <c r="B509" i="197"/>
  <c r="B77" i="197"/>
  <c r="B270" i="197"/>
  <c r="B446" i="197"/>
  <c r="B454" i="197"/>
  <c r="B619" i="197"/>
  <c r="B659" i="197"/>
  <c r="B13" i="197"/>
  <c r="B285" i="197"/>
  <c r="B549" i="197"/>
  <c r="B27" i="197"/>
  <c r="B103" i="197"/>
  <c r="B471" i="197"/>
  <c r="B397" i="197"/>
  <c r="B485" i="197"/>
  <c r="B635" i="197"/>
  <c r="B491" i="197"/>
  <c r="B568" i="197"/>
  <c r="B651" i="197"/>
  <c r="B49" i="197"/>
  <c r="B53" i="197"/>
  <c r="B144" i="197"/>
  <c r="B62" i="197"/>
  <c r="B421" i="197"/>
  <c r="B587" i="197"/>
  <c r="B606" i="197"/>
  <c r="B349" i="197"/>
  <c r="B577" i="197"/>
  <c r="B158" i="197"/>
  <c r="B359" i="197"/>
  <c r="B407" i="197"/>
  <c r="B75" i="197"/>
  <c r="B280" i="197"/>
  <c r="B88" i="197"/>
  <c r="B293" i="197"/>
  <c r="B437" i="197"/>
  <c r="B282" i="197"/>
  <c r="B108" i="197"/>
  <c r="B641" i="197"/>
  <c r="B378" i="197"/>
  <c r="B542" i="197"/>
  <c r="B331" i="197"/>
  <c r="B255" i="197"/>
  <c r="B269" i="197"/>
  <c r="B297" i="197"/>
  <c r="B412" i="197"/>
  <c r="B46" i="197"/>
  <c r="B135" i="197"/>
  <c r="B52" i="197"/>
  <c r="B333" i="197"/>
  <c r="B337" i="197"/>
  <c r="B425" i="197"/>
  <c r="B345" i="197"/>
  <c r="B264" i="197"/>
  <c r="B356" i="197"/>
  <c r="B406" i="197"/>
  <c r="B261" i="197"/>
  <c r="B153" i="197"/>
  <c r="B81" i="197"/>
  <c r="B71" i="197"/>
  <c r="B248" i="197"/>
  <c r="B598" i="197"/>
  <c r="B155" i="197"/>
  <c r="B393" i="197"/>
  <c r="B308" i="197"/>
  <c r="B418" i="197"/>
  <c r="B390" i="197"/>
  <c r="B111" i="197"/>
  <c r="B415" i="197"/>
  <c r="B374" i="197"/>
  <c r="B440" i="197"/>
  <c r="B289" i="197"/>
  <c r="B394" i="197"/>
  <c r="B361" i="197"/>
  <c r="B313" i="197"/>
  <c r="B391" i="197"/>
  <c r="B329" i="197"/>
  <c r="B574" i="197"/>
  <c r="B266" i="197"/>
  <c r="B439" i="197"/>
  <c r="B385" i="197"/>
  <c r="B253" i="197"/>
  <c r="B322" i="197"/>
  <c r="B21" i="197"/>
  <c r="B105" i="197"/>
  <c r="B602" i="197"/>
  <c r="B8" i="197"/>
  <c r="B496" i="197"/>
  <c r="B380" i="197"/>
  <c r="B430" i="197"/>
  <c r="B76" i="197"/>
  <c r="B387" i="197"/>
  <c r="B567" i="197"/>
  <c r="B555" i="197"/>
  <c r="B168" i="197"/>
  <c r="B92" i="197"/>
  <c r="B402" i="197"/>
  <c r="B434" i="197"/>
  <c r="B325" i="197"/>
  <c r="B271" i="197"/>
  <c r="B367" i="197"/>
  <c r="B447" i="197"/>
  <c r="B281" i="197"/>
  <c r="B539" i="197"/>
  <c r="B623" i="197"/>
  <c r="B498" i="197"/>
  <c r="B17" i="197"/>
  <c r="B89" i="197"/>
  <c r="B379" i="197"/>
  <c r="B464" i="197"/>
  <c r="B553" i="197"/>
  <c r="B311" i="197"/>
  <c r="B104" i="197"/>
  <c r="B128" i="197"/>
  <c r="B32" i="197"/>
  <c r="B480" i="197"/>
  <c r="B557" i="197"/>
  <c r="B495" i="197"/>
  <c r="B572" i="197"/>
  <c r="B644" i="197"/>
  <c r="B43" i="197"/>
  <c r="B198" i="197"/>
  <c r="B134" i="197"/>
  <c r="B148" i="197"/>
  <c r="B250" i="197"/>
  <c r="B414" i="197"/>
  <c r="B600" i="197"/>
  <c r="B342" i="197"/>
  <c r="B523" i="197"/>
  <c r="B240" i="197"/>
  <c r="B431" i="197"/>
  <c r="B595" i="197"/>
  <c r="B432" i="197"/>
  <c r="B323" i="197"/>
  <c r="B448" i="197"/>
  <c r="B241" i="197"/>
  <c r="B85" i="197"/>
  <c r="B456" i="197"/>
  <c r="B537" i="197"/>
  <c r="B621" i="197"/>
  <c r="B628" i="197"/>
  <c r="B661" i="197"/>
  <c r="B15" i="197"/>
  <c r="B95" i="197"/>
  <c r="B383" i="197"/>
  <c r="B462" i="197"/>
  <c r="B551" i="197"/>
  <c r="B294" i="197"/>
  <c r="B126" i="197"/>
  <c r="B398" i="197"/>
  <c r="B478" i="197"/>
  <c r="B637" i="197"/>
  <c r="B305" i="197"/>
  <c r="B493" i="197"/>
  <c r="B570" i="197"/>
  <c r="B642" i="197"/>
  <c r="B44" i="197"/>
  <c r="B51" i="197"/>
  <c r="B146" i="197"/>
  <c r="B416" i="197"/>
  <c r="B258" i="197"/>
  <c r="B422" i="197"/>
  <c r="B589" i="197"/>
  <c r="B238" i="197"/>
  <c r="B429" i="197"/>
  <c r="B160" i="197"/>
  <c r="B318" i="197"/>
  <c r="B131" i="197"/>
  <c r="B78" i="197"/>
  <c r="B272" i="197"/>
  <c r="B364" i="197"/>
  <c r="B167" i="197"/>
  <c r="B373" i="197"/>
  <c r="B455" i="197"/>
  <c r="B536" i="197"/>
  <c r="B620" i="197"/>
  <c r="B627" i="197"/>
  <c r="B660" i="197"/>
  <c r="B14" i="197"/>
  <c r="B382" i="197"/>
  <c r="B461" i="197"/>
  <c r="B550" i="197"/>
  <c r="B28" i="197"/>
  <c r="B472" i="197"/>
  <c r="B125" i="197"/>
  <c r="B636" i="197"/>
  <c r="B122" i="197"/>
  <c r="B492" i="197"/>
  <c r="B569" i="197"/>
  <c r="B41" i="197"/>
  <c r="B50" i="197"/>
  <c r="B54" i="197"/>
  <c r="B145" i="197"/>
  <c r="B332" i="197"/>
  <c r="B256" i="197"/>
  <c r="B588" i="197"/>
  <c r="B426" i="197"/>
  <c r="B578" i="197"/>
  <c r="B159" i="197"/>
  <c r="B360" i="197"/>
  <c r="B404" i="197"/>
  <c r="B251" i="197"/>
  <c r="B121" i="197"/>
  <c r="B310" i="197"/>
  <c r="B63" i="197"/>
  <c r="B39" i="197"/>
  <c r="B443" i="197"/>
  <c r="B5" i="197"/>
  <c r="B171" i="197"/>
  <c r="B453" i="197"/>
  <c r="B614" i="197"/>
  <c r="B618" i="197"/>
  <c r="B505" i="197"/>
  <c r="B658" i="197"/>
  <c r="B548" i="197"/>
  <c r="B556" i="197"/>
  <c r="B19" i="197"/>
  <c r="B102" i="197"/>
  <c r="B470" i="197"/>
  <c r="B33" i="197"/>
  <c r="B115" i="197"/>
  <c r="B301" i="197"/>
  <c r="B396" i="197"/>
  <c r="B564" i="197"/>
  <c r="B634" i="197"/>
  <c r="B119" i="197"/>
  <c r="B306" i="197"/>
  <c r="B490" i="197"/>
  <c r="B47" i="197"/>
  <c r="B48" i="197"/>
  <c r="B55" i="197"/>
  <c r="B585" i="197"/>
  <c r="B61" i="197"/>
  <c r="B338" i="197"/>
  <c r="B420" i="197"/>
  <c r="B586" i="197"/>
  <c r="B605" i="197"/>
  <c r="B68" i="197"/>
  <c r="B427" i="197"/>
  <c r="B576" i="197"/>
  <c r="B157" i="197"/>
  <c r="B358" i="197"/>
  <c r="B405" i="197"/>
  <c r="B573" i="197"/>
  <c r="B476" i="197"/>
  <c r="B591" i="197"/>
  <c r="B506" i="197"/>
  <c r="B96" i="197"/>
  <c r="B275" i="197"/>
  <c r="B10" i="197"/>
  <c r="B100" i="197"/>
  <c r="B29" i="197"/>
  <c r="B400" i="197"/>
  <c r="B56" i="197"/>
  <c r="B343" i="197"/>
  <c r="B423" i="197"/>
  <c r="B603" i="197"/>
  <c r="B350" i="197"/>
  <c r="B319" i="197"/>
  <c r="B507" i="197"/>
  <c r="B592" i="197"/>
  <c r="B276" i="197"/>
  <c r="B164" i="197"/>
  <c r="B363" i="197"/>
  <c r="B444" i="197"/>
  <c r="B84" i="197"/>
  <c r="B370" i="197"/>
  <c r="B450" i="197"/>
  <c r="B611" i="197"/>
  <c r="B615" i="197"/>
  <c r="B502" i="197"/>
  <c r="B655" i="197"/>
  <c r="B286" i="197"/>
  <c r="B468" i="197"/>
  <c r="B545" i="197"/>
  <c r="B315" i="197"/>
  <c r="B24" i="197"/>
  <c r="B474" i="197"/>
  <c r="B38" i="197"/>
  <c r="B112" i="197"/>
  <c r="B302" i="197"/>
  <c r="B484" i="197"/>
  <c r="B561" i="197"/>
  <c r="B631" i="197"/>
  <c r="B487" i="197"/>
  <c r="B648" i="197"/>
  <c r="B408" i="197"/>
  <c r="B202" i="197"/>
  <c r="B139" i="197"/>
  <c r="B142" i="197"/>
  <c r="B243" i="197"/>
  <c r="B334" i="197"/>
  <c r="B582" i="197"/>
  <c r="B58" i="197"/>
  <c r="B339" i="197"/>
  <c r="B519" i="197"/>
  <c r="B236" i="197"/>
  <c r="B65" i="197"/>
  <c r="B348" i="197"/>
  <c r="B514" i="197"/>
  <c r="B579" i="197"/>
  <c r="B265" i="197"/>
  <c r="B151" i="197"/>
  <c r="B106" i="197"/>
  <c r="B458" i="197"/>
  <c r="B317" i="197"/>
  <c r="B630" i="197"/>
  <c r="B486" i="197"/>
  <c r="B341" i="197"/>
  <c r="B64" i="197"/>
  <c r="B513" i="197"/>
  <c r="B116" i="197"/>
  <c r="B652" i="197"/>
  <c r="B441" i="197"/>
  <c r="B384" i="197"/>
  <c r="B543" i="197"/>
  <c r="B109" i="197"/>
  <c r="B403" i="197"/>
  <c r="B411" i="197"/>
  <c r="B328" i="197"/>
  <c r="B517" i="197"/>
  <c r="B346" i="197"/>
  <c r="B438" i="197"/>
  <c r="B320" i="197"/>
  <c r="B232" i="197"/>
  <c r="B283" i="197"/>
  <c r="B172" i="197"/>
  <c r="B535" i="197"/>
  <c r="B82" i="197"/>
  <c r="B377" i="197"/>
  <c r="B540" i="197"/>
  <c r="B624" i="197"/>
  <c r="B499" i="197"/>
  <c r="B18" i="197"/>
  <c r="B90" i="197"/>
  <c r="B386" i="197"/>
  <c r="B465" i="197"/>
  <c r="B554" i="197"/>
  <c r="B312" i="197"/>
  <c r="B22" i="197"/>
  <c r="B296" i="197"/>
  <c r="B129" i="197"/>
  <c r="B35" i="197"/>
  <c r="B298" i="197"/>
  <c r="B481" i="197"/>
  <c r="B558" i="197"/>
  <c r="B639" i="197"/>
  <c r="B401" i="197"/>
  <c r="B565" i="197"/>
  <c r="B645" i="197"/>
  <c r="B45" i="197"/>
  <c r="B199" i="197"/>
  <c r="B136" i="197"/>
  <c r="B149" i="197"/>
  <c r="B246" i="197"/>
  <c r="B417" i="197"/>
  <c r="B601" i="197"/>
  <c r="B254" i="197"/>
  <c r="B335" i="197"/>
  <c r="B510" i="197"/>
  <c r="B524" i="197"/>
  <c r="B525" i="197"/>
  <c r="B154" i="197"/>
  <c r="B352" i="197"/>
  <c r="B596" i="197"/>
  <c r="B72" i="197"/>
  <c r="B268" i="197"/>
  <c r="B433" i="197"/>
  <c r="B324" i="197"/>
  <c r="B388" i="197"/>
  <c r="B123" i="197"/>
  <c r="B290" i="197"/>
  <c r="E190" i="197"/>
  <c r="D190" i="197"/>
  <c r="E458" i="197"/>
  <c r="D458" i="197"/>
  <c r="D448" i="197"/>
  <c r="E388" i="197"/>
  <c r="D388" i="197"/>
  <c r="D390" i="197"/>
  <c r="D39" i="197"/>
  <c r="D507" i="197"/>
  <c r="D151" i="197"/>
  <c r="E573" i="197"/>
  <c r="D506" i="197"/>
  <c r="B4" i="197"/>
  <c r="D15" i="140"/>
  <c r="D16" i="36"/>
  <c r="D16" i="35"/>
  <c r="D15" i="73"/>
  <c r="D14" i="131"/>
  <c r="D15" i="132"/>
  <c r="D13" i="82"/>
  <c r="D12" i="81"/>
  <c r="D14" i="86"/>
  <c r="D14" i="85"/>
  <c r="D14" i="27"/>
  <c r="D14" i="26"/>
  <c r="D16" i="25"/>
  <c r="D16" i="90"/>
  <c r="D16" i="24"/>
  <c r="D15" i="23"/>
  <c r="D13" i="22"/>
  <c r="D15" i="21"/>
  <c r="D12" i="17"/>
  <c r="D13" i="16"/>
  <c r="D17" i="189"/>
  <c r="D17" i="188"/>
  <c r="D17" i="187"/>
  <c r="D16" i="186"/>
  <c r="D16" i="20"/>
  <c r="D16" i="88"/>
  <c r="D16" i="19"/>
  <c r="D15" i="18"/>
  <c r="D14" i="13"/>
  <c r="D14" i="12"/>
  <c r="D15" i="10"/>
  <c r="D14" i="11"/>
  <c r="D12" i="15"/>
  <c r="D13" i="14"/>
  <c r="D14" i="9"/>
  <c r="D11" i="149"/>
  <c r="D17" i="125"/>
  <c r="D17" i="124"/>
  <c r="D17" i="123"/>
  <c r="D16" i="122"/>
  <c r="D17" i="8"/>
  <c r="D17" i="87"/>
  <c r="D17" i="84"/>
  <c r="D16" i="6"/>
  <c r="D15" i="80"/>
  <c r="D14" i="79"/>
  <c r="D13" i="191"/>
  <c r="D13" i="77"/>
  <c r="D13" i="144"/>
  <c r="D14" i="76"/>
  <c r="D15" i="133"/>
  <c r="D16" i="78"/>
  <c r="D11" i="83"/>
  <c r="D17" i="128"/>
  <c r="D16" i="127"/>
  <c r="D14" i="126"/>
  <c r="D15" i="162"/>
  <c r="D14" i="47"/>
  <c r="D14" i="46"/>
  <c r="D12" i="60"/>
  <c r="D14" i="66"/>
  <c r="D11" i="150"/>
  <c r="D16" i="39"/>
  <c r="D16" i="91"/>
  <c r="D16" i="38"/>
  <c r="D15" i="37"/>
  <c r="D16" i="108"/>
  <c r="D16" i="109"/>
  <c r="D16" i="107"/>
  <c r="D15" i="106"/>
  <c r="D14" i="67"/>
  <c r="D14" i="5"/>
  <c r="E448" i="197" a="1"/>
  <c r="E151" i="197" a="1"/>
  <c r="D260" i="197" a="1"/>
  <c r="E260" i="197" a="1"/>
  <c r="B2" i="197" l="1"/>
  <c r="E448" i="197"/>
  <c r="E151" i="197"/>
  <c r="E260" i="197"/>
  <c r="D260" i="197"/>
  <c r="D14" i="4"/>
  <c r="D14" i="3"/>
  <c r="D13" i="2"/>
  <c r="D12" i="1"/>
  <c r="D14" i="134"/>
  <c r="D11" i="146"/>
  <c r="D16" i="95"/>
  <c r="D16" i="96"/>
  <c r="D16" i="190"/>
  <c r="D15" i="68"/>
  <c r="D247" i="197" l="1" a="1"/>
  <c r="D77" i="197" a="1"/>
  <c r="E339" i="197" a="1"/>
  <c r="E380" i="197" a="1"/>
  <c r="E603" i="197" a="1"/>
  <c r="E459" i="197" a="1"/>
  <c r="E301" i="197" a="1"/>
  <c r="D500" i="197" a="1"/>
  <c r="E45" i="197" a="1"/>
  <c r="D405" i="197" a="1"/>
  <c r="E329" i="197" a="1"/>
  <c r="D85" i="197" a="1"/>
  <c r="D258" i="197" a="1"/>
  <c r="D444" i="197" a="1"/>
  <c r="E387" i="197" a="1"/>
  <c r="E476" i="197" a="1"/>
  <c r="D15" i="197" a="1"/>
  <c r="E588" i="197" a="1"/>
  <c r="D53" i="197" a="1"/>
  <c r="D65" i="197" a="1"/>
  <c r="E261" i="197" a="1"/>
  <c r="E608" i="197" a="1"/>
  <c r="D346" i="197" a="1"/>
  <c r="D639" i="197" a="1"/>
  <c r="D35" i="197" a="1"/>
  <c r="E268" i="197" a="1"/>
  <c r="E371" i="197" a="1"/>
  <c r="E516" i="197" a="1"/>
  <c r="D153" i="197" a="1"/>
  <c r="D142" i="197" a="1"/>
  <c r="D252" i="197" a="1"/>
  <c r="E334" i="197" a="1"/>
  <c r="D43" i="197" a="1"/>
  <c r="E280" i="197" a="1"/>
  <c r="D116" i="197" a="1"/>
  <c r="D105" i="197" a="1"/>
  <c r="D132" i="197" a="1"/>
  <c r="D133" i="197" a="1"/>
  <c r="D602" i="197" a="1"/>
  <c r="D196" i="197" a="1"/>
  <c r="D241" i="197" a="1"/>
  <c r="E543" i="197" a="1"/>
  <c r="D404" i="197" a="1"/>
  <c r="E563" i="197" a="1"/>
  <c r="E626" i="197" a="1"/>
  <c r="D429" i="197" a="1"/>
  <c r="E298" i="197" a="1"/>
  <c r="E511" i="197" a="1"/>
  <c r="E560" i="197" a="1"/>
  <c r="E110" i="197" a="1"/>
  <c r="D296" i="197" a="1"/>
  <c r="D554" i="197" a="1"/>
  <c r="E259" i="197" a="1"/>
  <c r="D26" i="197" a="1"/>
  <c r="D242" i="197" a="1"/>
  <c r="D433" i="197" a="1"/>
  <c r="E269" i="197" a="1"/>
  <c r="D582" i="197" a="1"/>
  <c r="D10" i="197" a="1"/>
  <c r="D553" i="197" a="1"/>
  <c r="E82" i="197" a="1"/>
  <c r="E326" i="197" a="1"/>
  <c r="E590" i="197" a="1"/>
  <c r="E37" i="197" a="1"/>
  <c r="D387" i="197" a="1"/>
  <c r="E386" i="197" a="1"/>
  <c r="E57" i="197" a="1"/>
  <c r="D436" i="197" a="1"/>
  <c r="D464" i="197" a="1"/>
  <c r="E492" i="197" a="1"/>
  <c r="D272" i="197" a="1"/>
  <c r="E414" i="197" a="1"/>
  <c r="D547" i="197" a="1"/>
  <c r="D347" i="197" a="1"/>
  <c r="E202" i="197" a="1"/>
  <c r="D408" i="197" a="1"/>
  <c r="D90" i="197" a="1"/>
  <c r="E507" i="197" a="1"/>
  <c r="E652" i="197" a="1"/>
  <c r="E73" i="197" a="1"/>
  <c r="D515" i="197" a="1"/>
  <c r="D421" i="197" a="1"/>
  <c r="E620" i="197" a="1"/>
  <c r="E627" i="197" a="1"/>
  <c r="D587" i="197" a="1"/>
  <c r="E571" i="197" a="1"/>
  <c r="D298" i="197" a="1"/>
  <c r="D427" i="197" a="1"/>
  <c r="E316" i="197" a="1"/>
  <c r="E49" i="197" a="1"/>
  <c r="D152" i="197" a="1"/>
  <c r="D625" i="197" a="1"/>
  <c r="E140" i="197" a="1"/>
  <c r="E466" i="197" a="1"/>
  <c r="E415" i="197" a="1"/>
  <c r="D38" i="197" a="1"/>
  <c r="E367" i="197" a="1"/>
  <c r="E370" i="197" a="1"/>
  <c r="E197" i="197" a="1"/>
  <c r="D84" i="197" a="1"/>
  <c r="D60" i="197" a="1"/>
  <c r="D516" i="197" a="1"/>
  <c r="D71" i="197" a="1"/>
  <c r="E266" i="197" a="1"/>
  <c r="D412" i="197" a="1"/>
  <c r="D307" i="197" a="1"/>
  <c r="D322" i="197" a="1"/>
  <c r="E598" i="197" a="1"/>
  <c r="D572" i="197" a="1"/>
  <c r="E83" i="197" a="1"/>
  <c r="E271" i="197" a="1"/>
  <c r="D452" i="197" a="1"/>
  <c r="E604" i="197" a="1"/>
  <c r="E352" i="197" a="1"/>
  <c r="E272" i="197" a="1"/>
  <c r="E408" i="197" a="1"/>
  <c r="D610" i="197" a="1"/>
  <c r="D425" i="197" a="1"/>
  <c r="E630" i="197" a="1"/>
  <c r="D56" i="197" a="1"/>
  <c r="D521" i="197" a="1"/>
  <c r="D130" i="197" a="1"/>
  <c r="E66" i="197" a="1"/>
  <c r="E249" i="197" a="1"/>
  <c r="E39" i="197" a="1"/>
  <c r="D135" i="197" a="1"/>
  <c r="E30" i="197" a="1"/>
  <c r="E428" i="197" a="1"/>
  <c r="D574" i="197" a="1"/>
  <c r="D613" i="197" a="1"/>
  <c r="E309" i="197" a="1"/>
  <c r="D518" i="197" a="1"/>
  <c r="E413" i="197" a="1"/>
  <c r="D345" i="197" a="1"/>
  <c r="E287" i="197" a="1"/>
  <c r="E86" i="197" a="1"/>
  <c r="D249" i="197" a="1"/>
  <c r="E402" i="197" a="1"/>
  <c r="E438" i="197" a="1"/>
  <c r="D423" i="197" a="1"/>
  <c r="D365" i="197" a="1"/>
  <c r="E660" i="197" a="1"/>
  <c r="E351" i="197" a="1"/>
  <c r="E538" i="197" a="1"/>
  <c r="E114" i="197" a="1"/>
  <c r="E564" i="197" a="1"/>
  <c r="D599" i="197" a="1"/>
  <c r="D251" i="197" a="1"/>
  <c r="D514" i="197" a="1"/>
  <c r="E131" i="197" a="1"/>
  <c r="D134" i="197" a="1"/>
  <c r="E656" i="197" a="1"/>
  <c r="D113" i="197" a="1"/>
  <c r="D358" i="197" a="1"/>
  <c r="D51" i="197" a="1"/>
  <c r="E519" i="197" a="1"/>
  <c r="E106" i="197" a="1"/>
  <c r="D652" i="197" a="1"/>
  <c r="E285" i="197" a="1"/>
  <c r="E537" i="197" a="1"/>
  <c r="E342" i="197" a="1"/>
  <c r="E480" i="197" a="1"/>
  <c r="D645" i="197" a="1"/>
  <c r="D386" i="197" a="1"/>
  <c r="E574" i="197" a="1"/>
  <c r="E9" i="197" a="1"/>
  <c r="E558" i="197" a="1"/>
  <c r="D565" i="197" a="1"/>
  <c r="E253" i="197" a="1"/>
  <c r="D592" i="197" a="1"/>
  <c r="E639" i="197" a="1"/>
  <c r="E344" i="197" a="1"/>
  <c r="D119" i="197" a="1"/>
  <c r="D62" i="197" a="1"/>
  <c r="D539" i="197" a="1"/>
  <c r="D615" i="197" a="1"/>
  <c r="D282" i="197" a="1"/>
  <c r="E375" i="197" a="1"/>
  <c r="D611" i="197" a="1"/>
  <c r="D6" i="197" a="1"/>
  <c r="D66" i="197" a="1"/>
  <c r="E159" i="197" a="1"/>
  <c r="D440" i="197" a="1"/>
  <c r="D607" i="197" a="1"/>
  <c r="E276" i="197" a="1"/>
  <c r="D555" i="197" a="1"/>
  <c r="E365" i="197" a="1"/>
  <c r="E403" i="197" a="1"/>
  <c r="D115" i="197" a="1"/>
  <c r="D324" i="197" a="1"/>
  <c r="D349" i="197" a="1"/>
  <c r="D186" i="197" a="1"/>
  <c r="D469" i="197" a="1"/>
  <c r="E52" i="197" a="1"/>
  <c r="E186" i="197" a="1"/>
  <c r="E50" i="197" a="1"/>
  <c r="D28" i="197" a="1"/>
  <c r="D578" i="197" a="1"/>
  <c r="E286" i="197" a="1"/>
  <c r="D551" i="197" a="1"/>
  <c r="E540" i="197" a="1"/>
  <c r="E115" i="197" a="1"/>
  <c r="E238" i="197" a="1"/>
  <c r="E436" i="197" a="1"/>
  <c r="D237" i="197" a="1"/>
  <c r="E237" i="197" a="1"/>
  <c r="D236" i="197" a="1"/>
  <c r="E244" i="197" a="1"/>
  <c r="D382" i="197" a="1"/>
  <c r="E616" i="197" a="1"/>
  <c r="D438" i="197" a="1"/>
  <c r="E84" i="197" a="1"/>
  <c r="E19" i="197" a="1"/>
  <c r="E397" i="197" a="1"/>
  <c r="D202" i="197" a="1"/>
  <c r="E278" i="197" a="1"/>
  <c r="E18" i="197" a="1"/>
  <c r="D609" i="197" a="1"/>
  <c r="D74" i="197" a="1"/>
  <c r="E625" i="197" a="1"/>
  <c r="D428" i="197" a="1"/>
  <c r="D81" i="197" a="1"/>
  <c r="D17" i="197" a="1"/>
  <c r="E192" i="197" a="1"/>
  <c r="E420" i="197" a="1"/>
  <c r="D356" i="197" a="1"/>
  <c r="E201" i="197" a="1"/>
  <c r="E549" i="197" a="1"/>
  <c r="E68" i="197" a="1"/>
  <c r="E513" i="197" a="1"/>
  <c r="D75" i="197" a="1"/>
  <c r="E44" i="197" a="1"/>
  <c r="E461" i="197" a="1"/>
  <c r="D437" i="197" a="1"/>
  <c r="D561" i="197" a="1"/>
  <c r="E319" i="197" a="1"/>
  <c r="E103" i="197" a="1"/>
  <c r="E396" i="197" a="1"/>
  <c r="D112" i="197" a="1"/>
  <c r="D605" i="197" a="1"/>
  <c r="E341" i="197" a="1"/>
  <c r="E467" i="197" a="1"/>
  <c r="E464" i="197" a="1"/>
  <c r="E307" i="197" a="1"/>
  <c r="E360" i="197" a="1"/>
  <c r="D462" i="197" a="1"/>
  <c r="D189" i="197" a="1"/>
  <c r="E546" i="197" a="1"/>
  <c r="D200" i="197" a="1"/>
  <c r="E165" i="197" a="1"/>
  <c r="D276" i="197" a="1"/>
  <c r="E4" i="197" a="1"/>
  <c r="E112" i="197" a="1"/>
  <c r="D549" i="197" a="1"/>
  <c r="D566" i="197" a="1"/>
  <c r="D601" i="197" a="1"/>
  <c r="E333" i="197" a="1"/>
  <c r="E270" i="197" a="1"/>
  <c r="D586" i="197" a="1"/>
  <c r="E336" i="197" a="1"/>
  <c r="D46" i="197" a="1"/>
  <c r="D513" i="197" a="1"/>
  <c r="E12" i="197" a="1"/>
  <c r="D274" i="197" a="1"/>
  <c r="D88" i="197" a="1"/>
  <c r="D140" i="197" a="1"/>
  <c r="E141" i="197" a="1"/>
  <c r="D271" i="197" a="1"/>
  <c r="E424" i="197" a="1"/>
  <c r="D233" i="197" a="1"/>
  <c r="D558" i="197" a="1"/>
  <c r="D657" i="197" a="1"/>
  <c r="E587" i="197" a="1"/>
  <c r="E474" i="197" a="1"/>
  <c r="E521" i="197" a="1"/>
  <c r="E633" i="197" a="1"/>
  <c r="E431" i="197" a="1"/>
  <c r="D311" i="197" a="1"/>
  <c r="D139" i="197" a="1"/>
  <c r="E477" i="197" a="1"/>
  <c r="E331" i="197" a="1"/>
  <c r="D567" i="197" a="1"/>
  <c r="E451" i="197" a="1"/>
  <c r="D120" i="197" a="1"/>
  <c r="D332" i="197" a="1"/>
  <c r="E277" i="197" a="1"/>
  <c r="E241" i="197" a="1"/>
  <c r="D590" i="197" a="1"/>
  <c r="D193" i="197" a="1"/>
  <c r="D285" i="197" a="1"/>
  <c r="E635" i="197" a="1"/>
  <c r="E392" i="197" a="1"/>
  <c r="E101" i="197" a="1"/>
  <c r="E443" i="197" a="1"/>
  <c r="D384" i="197" a="1"/>
  <c r="E382" i="197" a="1"/>
  <c r="D546" i="197" a="1"/>
  <c r="D143" i="197" a="1"/>
  <c r="D406" i="197" a="1"/>
  <c r="D591" i="197" a="1"/>
  <c r="E13" i="197" a="1"/>
  <c r="E551" i="197" a="1"/>
  <c r="D30" i="197" a="1"/>
  <c r="D368" i="197" a="1"/>
  <c r="D447" i="197" a="1"/>
  <c r="D262" i="197" a="1"/>
  <c r="E296" i="197" a="1"/>
  <c r="E279" i="197" a="1"/>
  <c r="D331" i="197" a="1"/>
  <c r="E116" i="197" a="1"/>
  <c r="D136" i="197" a="1"/>
  <c r="D576" i="197" a="1"/>
  <c r="D608" i="197" a="1"/>
  <c r="D295" i="197" a="1"/>
  <c r="D301" i="197" a="1"/>
  <c r="E349" i="197" a="1"/>
  <c r="D544" i="197" a="1"/>
  <c r="E62" i="197" a="1"/>
  <c r="D245" i="197" a="1"/>
  <c r="D197" i="197" a="1"/>
  <c r="E144" i="197" a="1"/>
  <c r="D476" i="197" a="1"/>
  <c r="E10" i="197" a="1"/>
  <c r="D72" i="197" a="1"/>
  <c r="E602" i="197" a="1"/>
  <c r="D562" i="197" a="1"/>
  <c r="D620" i="197" a="1"/>
  <c r="E561" i="197" a="1"/>
  <c r="E500" i="197" a="1"/>
  <c r="E473" i="197" a="1"/>
  <c r="D340" i="197" a="1"/>
  <c r="E185" i="197" a="1"/>
  <c r="D548" i="197" a="1"/>
  <c r="E649" i="197" a="1"/>
  <c r="D568" i="197" a="1"/>
  <c r="E410" i="197" a="1"/>
  <c r="E47" i="197" a="1"/>
  <c r="E122" i="197" a="1"/>
  <c r="E324" i="197" a="1"/>
  <c r="D581" i="197" a="1"/>
  <c r="E70" i="197" a="1"/>
  <c r="D647" i="197" a="1"/>
  <c r="D359" i="197" a="1"/>
  <c r="D600" i="197" a="1"/>
  <c r="E328" i="197" a="1"/>
  <c r="E578" i="197" a="1"/>
  <c r="E585" i="197" a="1"/>
  <c r="E35" i="197" a="1"/>
  <c r="D54" i="197" a="1"/>
  <c r="E335" i="197" a="1"/>
  <c r="D655" i="197" a="1"/>
  <c r="D121" i="197" a="1"/>
  <c r="E535" i="197" a="1"/>
  <c r="D293" i="197" a="1"/>
  <c r="E647" i="197" a="1"/>
  <c r="E562" i="197" a="1"/>
  <c r="D512" i="197" a="1"/>
  <c r="D149" i="197" a="1"/>
  <c r="E569" i="197" a="1"/>
  <c r="E553" i="197" a="1"/>
  <c r="D432" i="197" a="1"/>
  <c r="E657" i="197" a="1"/>
  <c r="D410" i="197" a="1"/>
  <c r="D419" i="197" a="1"/>
  <c r="E325" i="197" a="1"/>
  <c r="D542" i="197" a="1"/>
  <c r="E372" i="197" a="1"/>
  <c r="E592" i="197" a="1"/>
  <c r="E6" i="197" a="1"/>
  <c r="D522" i="197" a="1"/>
  <c r="D570" i="197" a="1"/>
  <c r="E489" i="197" a="1"/>
  <c r="D244" i="197" a="1"/>
  <c r="E48" i="197" a="1"/>
  <c r="E104" i="197" a="1"/>
  <c r="D248" i="197" a="1"/>
  <c r="E195" i="197" a="1"/>
  <c r="D439" i="197" a="1"/>
  <c r="E99" i="197" a="1"/>
  <c r="D170" i="197" a="1"/>
  <c r="D545" i="197" a="1"/>
  <c r="E465" i="197" a="1"/>
  <c r="E34" i="197" a="1"/>
  <c r="D450" i="197" a="1"/>
  <c r="E123" i="197" a="1"/>
  <c r="E56" i="197" a="1"/>
  <c r="D310" i="197" a="1"/>
  <c r="E605" i="197" a="1"/>
  <c r="D109" i="197" a="1"/>
  <c r="E317" i="197" a="1"/>
  <c r="D306" i="197" a="1"/>
  <c r="E117" i="197" a="1"/>
  <c r="D5" i="197" a="1"/>
  <c r="E444" i="197" a="1"/>
  <c r="E314" i="197" a="1"/>
  <c r="D333" i="197" a="1"/>
  <c r="D449" i="197" a="1"/>
  <c r="E409" i="197" a="1"/>
  <c r="E111" i="197" a="1"/>
  <c r="D308" i="197" a="1"/>
  <c r="E243" i="197" a="1"/>
  <c r="D294" i="197" a="1"/>
  <c r="E475" i="197" a="1"/>
  <c r="E14" i="197" a="1"/>
  <c r="D646" i="197" a="1"/>
  <c r="E59" i="197" a="1"/>
  <c r="E69" i="197" a="1"/>
  <c r="E624" i="197" a="1"/>
  <c r="E593" i="197" a="1"/>
  <c r="D389" i="197" a="1"/>
  <c r="D660" i="197" a="1"/>
  <c r="D73" i="197" a="1"/>
  <c r="E576" i="197" a="1"/>
  <c r="E364" i="197" a="1"/>
  <c r="D325" i="197" a="1"/>
  <c r="D377" i="197" a="1"/>
  <c r="D11" i="197" a="1"/>
  <c r="E607" i="197" a="1"/>
  <c r="E109" i="197" a="1"/>
  <c r="E430" i="197" a="1"/>
  <c r="E520" i="197" a="1"/>
  <c r="D648" i="197" a="1"/>
  <c r="D635" i="197" a="1"/>
  <c r="E658" i="197" a="1"/>
  <c r="E318" i="197" a="1"/>
  <c r="E368" i="197" a="1"/>
  <c r="D52" i="197" a="1"/>
  <c r="D102" i="197" a="1"/>
  <c r="D157" i="197" a="1"/>
  <c r="D313" i="197" a="1"/>
  <c r="E172" i="197" a="1"/>
  <c r="E486" i="197" a="1"/>
  <c r="E637" i="197" a="1"/>
  <c r="D460" i="197" a="1"/>
  <c r="D164" i="197" a="1"/>
  <c r="D275" i="197" a="1"/>
  <c r="E64" i="197" a="1"/>
  <c r="D564" i="197" a="1"/>
  <c r="D63" i="197" a="1"/>
  <c r="D123" i="197" a="1"/>
  <c r="D392" i="197" a="1"/>
  <c r="E263" i="197" a="1"/>
  <c r="E623" i="197" a="1"/>
  <c r="D451" i="197" a="1"/>
  <c r="D86" i="197" a="1"/>
  <c r="E559" i="197" a="1"/>
  <c r="E267" i="197" a="1"/>
  <c r="E601" i="197" a="1"/>
  <c r="D25" i="197" a="1"/>
  <c r="E643" i="197" a="1"/>
  <c r="D239" i="197" a="1"/>
  <c r="E369" i="197" a="1"/>
  <c r="D335" i="197" a="1"/>
  <c r="D286" i="197" a="1"/>
  <c r="E383" i="197" a="1"/>
  <c r="E440" i="197" a="1"/>
  <c r="D96" i="197" a="1"/>
  <c r="E283" i="197" a="1"/>
  <c r="D536" i="197" a="1"/>
  <c r="E27" i="197" a="1"/>
  <c r="D49" i="197" a="1"/>
  <c r="D632" i="197" a="1"/>
  <c r="E137" i="197" a="1"/>
  <c r="D453" i="197" a="1"/>
  <c r="D618" i="197" a="1"/>
  <c r="E504" i="197" a="1"/>
  <c r="E63" i="197" a="1"/>
  <c r="E497" i="197" a="1"/>
  <c r="E471" i="197" a="1"/>
  <c r="E393" i="197" a="1"/>
  <c r="D594" i="197" a="1"/>
  <c r="D399" i="197" a="1"/>
  <c r="E356" i="197" a="1"/>
  <c r="D12" i="197" a="1"/>
  <c r="D255" i="197" a="1"/>
  <c r="E80" i="197" a="1"/>
  <c r="D246" i="197" a="1"/>
  <c r="D381" i="197" a="1"/>
  <c r="D297" i="197" a="1"/>
  <c r="D238" i="197" a="1"/>
  <c r="E142" i="197" a="1"/>
  <c r="D543" i="197" a="1"/>
  <c r="E290" i="197" a="1"/>
  <c r="E246" i="197" a="1"/>
  <c r="D641" i="197" a="1"/>
  <c r="D172" i="197" a="1"/>
  <c r="D351" i="197" a="1"/>
  <c r="D623" i="197" a="1"/>
  <c r="D457" i="197" a="1"/>
  <c r="E544" i="197" a="1"/>
  <c r="E484" i="197" a="1"/>
  <c r="D154" i="197" a="1"/>
  <c r="D538" i="197" a="1"/>
  <c r="E346" i="197" a="1"/>
  <c r="D131" i="197" a="1"/>
  <c r="E149" i="197" a="1"/>
  <c r="D596" i="197" a="1"/>
  <c r="D22" i="197" a="1"/>
  <c r="D383" i="197" a="1"/>
  <c r="E498" i="197" a="1"/>
  <c r="E132" i="197" a="1"/>
  <c r="E405" i="197" a="1"/>
  <c r="E452" i="197" a="1"/>
  <c r="D129" i="197" a="1"/>
  <c r="E591" i="197" a="1"/>
  <c r="E257" i="197" a="1"/>
  <c r="D376" i="197" a="1"/>
  <c r="E599" i="197" a="1"/>
  <c r="D100" i="197" a="1"/>
  <c r="E138" i="197" a="1"/>
  <c r="E26" i="197" a="1"/>
  <c r="E437" i="197" a="1"/>
  <c r="E17" i="197" a="1"/>
  <c r="D367" i="197" a="1"/>
  <c r="D627" i="197" a="1"/>
  <c r="E655" i="197" a="1"/>
  <c r="E78" i="197" a="1"/>
  <c r="E252" i="197" a="1"/>
  <c r="E472" i="197" a="1"/>
  <c r="D47" i="197" a="1"/>
  <c r="E79" i="197" a="1"/>
  <c r="D400" i="197" a="1"/>
  <c r="E539" i="197" a="1"/>
  <c r="D61" i="197" a="1"/>
  <c r="D503" i="197" a="1"/>
  <c r="E232" i="197" a="1"/>
  <c r="D478" i="197" a="1"/>
  <c r="D95" i="197" a="1"/>
  <c r="D653" i="197" a="1"/>
  <c r="D407" i="197" a="1"/>
  <c r="E399" i="197" a="1"/>
  <c r="D409" i="197" a="1"/>
  <c r="E5" i="197" a="1"/>
  <c r="E199" i="197" a="1"/>
  <c r="D417" i="197" a="1"/>
  <c r="E194" i="197" a="1"/>
  <c r="D146" i="197" a="1"/>
  <c r="E303" i="197" a="1"/>
  <c r="D414" i="197" a="1"/>
  <c r="D243" i="197" a="1"/>
  <c r="D479" i="197" a="1"/>
  <c r="D371" i="197" a="1"/>
  <c r="E449" i="197" a="1"/>
  <c r="E322" i="197" a="1"/>
  <c r="E650" i="197" a="1"/>
  <c r="E93" i="197" a="1"/>
  <c r="E23" i="197" a="1"/>
  <c r="E40" i="197" a="1"/>
  <c r="D277" i="197" a="1"/>
  <c r="E610" i="197" a="1"/>
  <c r="E21" i="197" a="1"/>
  <c r="E167" i="197" a="1"/>
  <c r="E315" i="197" a="1"/>
  <c r="E510" i="197" a="1"/>
  <c r="D517" i="197" a="1"/>
  <c r="D80" i="197" a="1"/>
  <c r="D370" i="197" a="1"/>
  <c r="D165" i="197" a="1"/>
  <c r="D466" i="197" a="1"/>
  <c r="D283" i="197" a="1"/>
  <c r="D461" i="197" a="1"/>
  <c r="D57" i="197" a="1"/>
  <c r="D403" i="197" a="1"/>
  <c r="E651" i="197" a="1"/>
  <c r="E233" i="197" a="1"/>
  <c r="E439" i="197" a="1"/>
  <c r="D483" i="197" a="1"/>
  <c r="D344" i="197" a="1"/>
  <c r="E158" i="197" a="1"/>
  <c r="D280" i="197" a="1"/>
  <c r="D378" i="197" a="1"/>
  <c r="E612" i="197" a="1"/>
  <c r="D361" i="197" a="1"/>
  <c r="D338" i="197" a="1"/>
  <c r="E15" i="197" a="1"/>
  <c r="D265" i="197" a="1"/>
  <c r="D124" i="197" a="1"/>
  <c r="D161" i="197" a="1"/>
  <c r="E481" i="197" a="1"/>
  <c r="D256" i="197" a="1"/>
  <c r="E550" i="197" a="1"/>
  <c r="D593" i="197" a="1"/>
  <c r="E28" i="197" a="1"/>
  <c r="E487" i="197" a="1"/>
  <c r="D91" i="197" a="1"/>
  <c r="D300" i="197" a="1"/>
  <c r="D350" i="197" a="1"/>
  <c r="D303" i="197" a="1"/>
  <c r="D192" i="197" a="1"/>
  <c r="D633" i="197" a="1"/>
  <c r="E621" i="197" a="1"/>
  <c r="D569" i="197" a="1"/>
  <c r="D341" i="197" a="1"/>
  <c r="E583" i="197" a="1"/>
  <c r="D14" i="197" a="1"/>
  <c r="E390" i="197" a="1"/>
  <c r="E400" i="197" a="1"/>
  <c r="D456" i="197" a="1"/>
  <c r="D195" i="197" a="1"/>
  <c r="E234" i="197" a="1"/>
  <c r="D45" i="197" a="1"/>
  <c r="E557" i="197" a="1"/>
  <c r="E36" i="197" a="1"/>
  <c r="E133" i="197" a="1"/>
  <c r="D155" i="197" a="1"/>
  <c r="D474" i="197" a="1"/>
  <c r="E622" i="197" a="1"/>
  <c r="E615" i="197" a="1"/>
  <c r="D424" i="197" a="1"/>
  <c r="E90" i="197" a="1"/>
  <c r="D166" i="197" a="1"/>
  <c r="E503" i="197" a="1"/>
  <c r="D362" i="197" a="1"/>
  <c r="D579" i="197" a="1"/>
  <c r="E359" i="197" a="1"/>
  <c r="E130" i="197" a="1"/>
  <c r="E450" i="197" a="1"/>
  <c r="E255" i="197" a="1"/>
  <c r="E600" i="197" a="1"/>
  <c r="E568" i="197" a="1"/>
  <c r="D446" i="197" a="1"/>
  <c r="E376" i="197" a="1"/>
  <c r="D336" i="197" a="1"/>
  <c r="E441" i="197" a="1"/>
  <c r="E468" i="197" a="1"/>
  <c r="D472" i="197" a="1"/>
  <c r="D48" i="197" a="1"/>
  <c r="E235" i="197" a="1"/>
  <c r="D487" i="197" a="1"/>
  <c r="E384" i="197" a="1"/>
  <c r="E534" i="197" a="1"/>
  <c r="D203" i="197" a="1"/>
  <c r="D305" i="197" a="1"/>
  <c r="E166" i="197" a="1"/>
  <c r="D263" i="197" a="1"/>
  <c r="D234" i="197" a="1"/>
  <c r="E606" i="197" a="1"/>
  <c r="D188" i="197" a="1"/>
  <c r="E554" i="197" a="1"/>
  <c r="D364" i="197" a="1"/>
  <c r="E429" i="197" a="1"/>
  <c r="D638" i="197" a="1"/>
  <c r="D320" i="197" a="1"/>
  <c r="E321" i="197" a="1"/>
  <c r="E347" i="197" a="1"/>
  <c r="E169" i="197" a="1"/>
  <c r="E555" i="197" a="1"/>
  <c r="D510" i="197" a="1"/>
  <c r="E85" i="197" a="1"/>
  <c r="D656" i="197" a="1"/>
  <c r="D273" i="197" a="1"/>
  <c r="E258" i="197" a="1"/>
  <c r="E156" i="197" a="1"/>
  <c r="D496" i="197" a="1"/>
  <c r="E579" i="197" a="1"/>
  <c r="D617" i="197" a="1"/>
  <c r="E425" i="197" a="1"/>
  <c r="E203" i="197" a="1"/>
  <c r="E251" i="197" a="1"/>
  <c r="D269" i="197" a="1"/>
  <c r="E542" i="197" a="1"/>
  <c r="E345" i="197" a="1"/>
  <c r="D40" i="197" a="1"/>
  <c r="D560" i="197" a="1"/>
  <c r="E155" i="197" a="1"/>
  <c r="E118" i="197" a="1"/>
  <c r="E54" i="197" a="1"/>
  <c r="E586" i="197" a="1"/>
  <c r="D41" i="197" a="1"/>
  <c r="D355" i="197" a="1"/>
  <c r="D309" i="197" a="1"/>
  <c r="E395" i="197" a="1"/>
  <c r="E366" i="197" a="1"/>
  <c r="D326" i="197" a="1"/>
  <c r="E81" i="197" a="1"/>
  <c r="D643" i="197" a="1"/>
  <c r="E426" i="197" a="1"/>
  <c r="D535" i="197" a="1"/>
  <c r="D577" i="197" a="1"/>
  <c r="D55" i="197" a="1"/>
  <c r="D201" i="197" a="1"/>
  <c r="E545" i="197" a="1"/>
  <c r="D278" i="197" a="1"/>
  <c r="E310" i="197" a="1"/>
  <c r="E422" i="197" a="1"/>
  <c r="E628" i="197" a="1"/>
  <c r="E275" i="197" a="1"/>
  <c r="D330" i="197" a="1"/>
  <c r="D642" i="197" a="1"/>
  <c r="E74" i="197" a="1"/>
  <c r="D128" i="197" a="1"/>
  <c r="D23" i="197" a="1"/>
  <c r="D329" i="197" a="1"/>
  <c r="E153" i="197" a="1"/>
  <c r="E418" i="197" a="1"/>
  <c r="D284" i="197" a="1"/>
  <c r="E295" i="197" a="1"/>
  <c r="D573" i="197" a="1"/>
  <c r="D141" i="197" a="1"/>
  <c r="E308" i="197" a="1"/>
  <c r="E584" i="197" a="1"/>
  <c r="E457" i="197" a="1"/>
  <c r="D87" i="197" a="1"/>
  <c r="D76" i="197" a="1"/>
  <c r="D312" i="197" a="1"/>
  <c r="E247" i="197" a="1"/>
  <c r="E378" i="197" a="1"/>
  <c r="D454" i="197" a="1"/>
  <c r="E100" i="197" a="1"/>
  <c r="D337" i="197" a="1"/>
  <c r="D366" i="197" a="1"/>
  <c r="E575" i="197" a="1"/>
  <c r="E297" i="197" a="1"/>
  <c r="D167" i="197" a="1"/>
  <c r="D606" i="197" a="1"/>
  <c r="E350" i="197" a="1"/>
  <c r="D628" i="197" a="1"/>
  <c r="D504" i="197" a="1"/>
  <c r="D559" i="197" a="1"/>
  <c r="D463" i="197" a="1"/>
  <c r="E154" i="197" a="1"/>
  <c r="E432" i="197" a="1"/>
  <c r="D369" i="197" a="1"/>
  <c r="E495" i="197" a="1"/>
  <c r="E125" i="197" a="1"/>
  <c r="D603" i="197" a="1"/>
  <c r="E171" i="197" a="1"/>
  <c r="E401" i="197" a="1"/>
  <c r="E634" i="197" a="1"/>
  <c r="E22" i="197" a="1"/>
  <c r="D480" i="197" a="1"/>
  <c r="D363" i="197" a="1"/>
  <c r="D144" i="197" a="1"/>
  <c r="E75" i="197" a="1"/>
  <c r="E163" i="197" a="1"/>
  <c r="D584" i="197" a="1"/>
  <c r="E77" i="197" a="1"/>
  <c r="E445" i="197" a="1"/>
  <c r="E645" i="197" a="1"/>
  <c r="D36" i="197" a="1"/>
  <c r="D319" i="197" a="1"/>
  <c r="E577" i="197" a="1"/>
  <c r="E556" i="197" a="1"/>
  <c r="D534" i="197" a="1"/>
  <c r="D264" i="197" a="1"/>
  <c r="E506" i="197" a="1"/>
  <c r="E323" i="197" a="1"/>
  <c r="E453" i="197" a="1"/>
  <c r="D499" i="197" a="1"/>
  <c r="D34" i="197" a="1"/>
  <c r="D435" i="197" a="1"/>
  <c r="D575" i="197" a="1"/>
  <c r="D8" i="197" a="1"/>
  <c r="D511" i="197" a="1"/>
  <c r="E245" i="197" a="1"/>
  <c r="E374" i="197" a="1"/>
  <c r="D29" i="197" a="1"/>
  <c r="D588" i="197" a="1"/>
  <c r="E191" i="197" a="1"/>
  <c r="D373" i="197" a="1"/>
  <c r="E65" i="197" a="1"/>
  <c r="E482" i="197" a="1"/>
  <c r="D580" i="197" a="1"/>
  <c r="E113" i="197" a="1"/>
  <c r="D396" i="197" a="1"/>
  <c r="E313" i="197" a="1"/>
  <c r="E354" i="197" a="1"/>
  <c r="D426" i="197" a="1"/>
  <c r="D598" i="197" a="1"/>
  <c r="D459" i="197" a="1"/>
  <c r="E419" i="197" a="1"/>
  <c r="D58" i="197" a="1"/>
  <c r="E200" i="197" a="1"/>
  <c r="D185" i="197" a="1"/>
  <c r="E157" i="197" a="1"/>
  <c r="D595" i="197" a="1"/>
  <c r="E572" i="197" a="1"/>
  <c r="E120" i="197" a="1"/>
  <c r="D162" i="197" a="1"/>
  <c r="E284" i="197" a="1"/>
  <c r="D379" i="197" a="1"/>
  <c r="D475" i="197" a="1"/>
  <c r="D654" i="197" a="1"/>
  <c r="E124" i="197" a="1"/>
  <c r="D98" i="197" a="1"/>
  <c r="E361" i="197" a="1"/>
  <c r="D69" i="197" a="1"/>
  <c r="D288" i="197" a="1"/>
  <c r="E648" i="197" a="1"/>
  <c r="E479" i="197" a="1"/>
  <c r="D473" i="197" a="1"/>
  <c r="E348" i="197" a="1"/>
  <c r="E469" i="197" a="1"/>
  <c r="E147" i="197" a="1"/>
  <c r="E126" i="197" a="1"/>
  <c r="D137" i="197" a="1"/>
  <c r="E611" i="197" a="1"/>
  <c r="E570" i="197" a="1"/>
  <c r="E136" i="197" a="1"/>
  <c r="E488" i="197" a="1"/>
  <c r="D637" i="197" a="1"/>
  <c r="D79" i="197" a="1"/>
  <c r="E250" i="197" a="1"/>
  <c r="E95" i="197" a="1"/>
  <c r="E24" i="197" a="1"/>
  <c r="E642" i="197" a="1"/>
  <c r="E274" i="197" a="1"/>
  <c r="E508" i="197" a="1"/>
  <c r="D375" i="197" a="1"/>
  <c r="D455" i="197" a="1"/>
  <c r="D631" i="197" a="1"/>
  <c r="D259" i="197" a="1"/>
  <c r="D644" i="197" a="1"/>
  <c r="E358" i="197" a="1"/>
  <c r="D411" i="197" a="1"/>
  <c r="D571" i="197" a="1"/>
  <c r="D59" i="197" a="1"/>
  <c r="D24" i="197" a="1"/>
  <c r="E55" i="197" a="1"/>
  <c r="E302" i="197" a="1"/>
  <c r="D589" i="197" a="1"/>
  <c r="D420" i="197" a="1"/>
  <c r="D563" i="197" a="1"/>
  <c r="E16" i="197" a="1"/>
  <c r="E433" i="197" a="1"/>
  <c r="E11" i="197" a="1"/>
  <c r="E107" i="197" a="1"/>
  <c r="D9" i="197" a="1"/>
  <c r="E102" i="197" a="1"/>
  <c r="D634" i="197" a="1"/>
  <c r="E288" i="197" a="1"/>
  <c r="E330" i="197" a="1"/>
  <c r="E127" i="197" a="1"/>
  <c r="D159" i="197" a="1"/>
  <c r="D261" i="197" a="1"/>
  <c r="E139" i="197" a="1"/>
  <c r="E629" i="197" a="1"/>
  <c r="E406" i="197" a="1"/>
  <c r="D520" i="197" a="1"/>
  <c r="D492" i="197" a="1"/>
  <c r="E289" i="197" a="1"/>
  <c r="D122" i="197" a="1"/>
  <c r="D629" i="197" a="1"/>
  <c r="D413" i="197" a="1"/>
  <c r="D19" i="197" a="1"/>
  <c r="E355" i="197" a="1"/>
  <c r="D250" i="197" a="1"/>
  <c r="D97" i="197" a="1"/>
  <c r="D401" i="197" a="1"/>
  <c r="E644" i="197" a="1"/>
  <c r="E581" i="197" a="1"/>
  <c r="D509" i="197" a="1"/>
  <c r="E294" i="197" a="1"/>
  <c r="D44" i="197" a="1"/>
  <c r="D187" i="197" a="1"/>
  <c r="E306" i="197" a="1"/>
  <c r="E446" i="197" a="1"/>
  <c r="D524" i="197" a="1"/>
  <c r="E566" i="197" a="1"/>
  <c r="E89" i="197" a="1"/>
  <c r="D18" i="197" a="1"/>
  <c r="E332" i="197" a="1"/>
  <c r="E293" i="197" a="1"/>
  <c r="E391" i="197" a="1"/>
  <c r="E273" i="197" a="1"/>
  <c r="D270" i="197" a="1"/>
  <c r="D101" i="197" a="1"/>
  <c r="E29" i="197" a="1"/>
  <c r="E641" i="197" a="1"/>
  <c r="D422" i="197" a="1"/>
  <c r="D156" i="197" a="1"/>
  <c r="E108" i="197" a="1"/>
  <c r="D556" i="197" a="1"/>
  <c r="E193" i="197" a="1"/>
  <c r="D397" i="197" a="1"/>
  <c r="D299" i="197" a="1"/>
  <c r="E394" i="197" a="1"/>
  <c r="D37" i="197" a="1"/>
  <c r="D649" i="197" a="1"/>
  <c r="D334" i="197" a="1"/>
  <c r="E434" i="197" a="1"/>
  <c r="D287" i="197" a="1"/>
  <c r="D395" i="197" a="1"/>
  <c r="E265" i="197" a="1"/>
  <c r="D290" i="197" a="1"/>
  <c r="E242" i="197" a="1"/>
  <c r="D254" i="197" a="1"/>
  <c r="E541" i="197" a="1"/>
  <c r="E162" i="197" a="1"/>
  <c r="E7" i="197" a="1"/>
  <c r="D126" i="197" a="1"/>
  <c r="D597" i="197" a="1"/>
  <c r="D471" i="197" a="1"/>
  <c r="D661" i="197" a="1"/>
  <c r="E524" i="197" a="1"/>
  <c r="D267" i="197" a="1"/>
  <c r="E417" i="197" a="1"/>
  <c r="D7" i="197" a="1"/>
  <c r="E617" i="197" a="1"/>
  <c r="D583" i="197" a="1"/>
  <c r="E377" i="197" a="1"/>
  <c r="D353" i="197" a="1"/>
  <c r="E463" i="197" a="1"/>
  <c r="E398" i="197" a="1"/>
  <c r="E597" i="197" a="1"/>
  <c r="D348" i="197" a="1"/>
  <c r="E412" i="197" a="1"/>
  <c r="D235" i="197" a="1"/>
  <c r="D604" i="197" a="1"/>
  <c r="E72" i="197" a="1"/>
  <c r="E304" i="197" a="1"/>
  <c r="E264" i="197" a="1"/>
  <c r="E632" i="197" a="1"/>
  <c r="D552" i="197" a="1"/>
  <c r="D342" i="197" a="1"/>
  <c r="E582" i="197" a="1"/>
  <c r="E119" i="197" a="1"/>
  <c r="D354" i="197" a="1"/>
  <c r="D163" i="197" a="1"/>
  <c r="D42" i="197" a="1"/>
  <c r="D240" i="197" a="1"/>
  <c r="E442" i="197" a="1"/>
  <c r="E46" i="197" a="1"/>
  <c r="D323" i="197" a="1"/>
  <c r="D89" i="197" a="1"/>
  <c r="D145" i="197" a="1"/>
  <c r="D232" i="197" a="1"/>
  <c r="E421" i="197" a="1"/>
  <c r="E659" i="197" a="1"/>
  <c r="D519" i="197" a="1"/>
  <c r="D70" i="197" a="1"/>
  <c r="D302" i="197" a="1"/>
  <c r="E509" i="197" a="1"/>
  <c r="D537" i="197" a="1"/>
  <c r="D198" i="197" a="1"/>
  <c r="E160" i="197" a="1"/>
  <c r="D501" i="197" a="1"/>
  <c r="D636" i="197" a="1"/>
  <c r="E337" i="197" a="1"/>
  <c r="D493" i="197" a="1"/>
  <c r="E493" i="197" a="1"/>
  <c r="D64" i="197" a="1"/>
  <c r="D622" i="197" a="1"/>
  <c r="E522" i="197" a="1"/>
  <c r="D485" i="197" a="1"/>
  <c r="E619" i="197" a="1"/>
  <c r="E42" i="197" a="1"/>
  <c r="E411" i="197" a="1"/>
  <c r="D67" i="197" a="1"/>
  <c r="D150" i="197" a="1"/>
  <c r="D434" i="197" a="1"/>
  <c r="E33" i="197" a="1"/>
  <c r="E580" i="197" a="1"/>
  <c r="E32" i="197" a="1"/>
  <c r="E41" i="197" a="1"/>
  <c r="E353" i="197" a="1"/>
  <c r="E505" i="197" a="1"/>
  <c r="D619" i="197" a="1"/>
  <c r="E170" i="197" a="1"/>
  <c r="E565" i="197" a="1"/>
  <c r="E87" i="197" a="1"/>
  <c r="D104" i="197" a="1"/>
  <c r="E51" i="197" a="1"/>
  <c r="E514" i="197" a="1"/>
  <c r="D658" i="197" a="1"/>
  <c r="D106" i="197" a="1"/>
  <c r="D4" i="197" a="1"/>
  <c r="E128" i="197" a="1"/>
  <c r="E517" i="197" a="1"/>
  <c r="D445" i="197" a="1"/>
  <c r="D27" i="197" a="1"/>
  <c r="E146" i="197" a="1"/>
  <c r="E53" i="197" a="1"/>
  <c r="D482" i="197" a="1"/>
  <c r="D33" i="197" a="1"/>
  <c r="D103" i="197" a="1"/>
  <c r="E8" i="197" a="1"/>
  <c r="D550" i="197" a="1"/>
  <c r="E357" i="197" a="1"/>
  <c r="D467" i="197" a="1"/>
  <c r="E483" i="197" a="1"/>
  <c r="D650" i="197" a="1"/>
  <c r="E187" i="197" a="1"/>
  <c r="E478" i="197" a="1"/>
  <c r="D148" i="197" a="1"/>
  <c r="E614" i="197" a="1"/>
  <c r="E240" i="197" a="1"/>
  <c r="E150" i="197" a="1"/>
  <c r="D494" i="197" a="1"/>
  <c r="D505" i="197" a="1"/>
  <c r="E490" i="197" a="1"/>
  <c r="E98" i="197" a="1"/>
  <c r="D498" i="197" a="1"/>
  <c r="E613" i="197" a="1"/>
  <c r="D13" i="197" a="1"/>
  <c r="D138" i="197" a="1"/>
  <c r="E338" i="197" a="1"/>
  <c r="D32" i="197" a="1"/>
  <c r="E595" i="197" a="1"/>
  <c r="E496" i="197" a="1"/>
  <c r="E76" i="197" a="1"/>
  <c r="E363" i="197" a="1"/>
  <c r="D431" i="197" a="1"/>
  <c r="D191" i="197" a="1"/>
  <c r="D360" i="197" a="1"/>
  <c r="D94" i="197" a="1"/>
  <c r="D497" i="197" a="1"/>
  <c r="D612" i="197" a="1"/>
  <c r="D585" i="197" a="1"/>
  <c r="D490" i="197" a="1"/>
  <c r="D416" i="197" a="1"/>
  <c r="E67" i="197" a="1"/>
  <c r="E20" i="197" a="1"/>
  <c r="D171" i="197" a="1"/>
  <c r="E188" i="197" a="1"/>
  <c r="D441" i="197" a="1"/>
  <c r="E618" i="197" a="1"/>
  <c r="E494" i="197" a="1"/>
  <c r="D253" i="197" a="1"/>
  <c r="E292" i="197" a="1"/>
  <c r="E105" i="197" a="1"/>
  <c r="E129" i="197" a="1"/>
  <c r="E97" i="197" a="1"/>
  <c r="E196" i="197" a="1"/>
  <c r="E71" i="197" a="1"/>
  <c r="E256" i="197" a="1"/>
  <c r="D160" i="197" a="1"/>
  <c r="D168" i="197" a="1"/>
  <c r="D93" i="197" a="1"/>
  <c r="E143" i="197" a="1"/>
  <c r="D484" i="197" a="1"/>
  <c r="D477" i="197" a="1"/>
  <c r="E164" i="197" a="1"/>
  <c r="E653" i="197" a="1"/>
  <c r="D502" i="197" a="1"/>
  <c r="D50" i="197" a="1"/>
  <c r="D616" i="197" a="1"/>
  <c r="D541" i="197" a="1"/>
  <c r="D169" i="197" a="1"/>
  <c r="E262" i="197" a="1"/>
  <c r="E291" i="197" a="1"/>
  <c r="D491" i="197" a="1"/>
  <c r="D257" i="197" a="1"/>
  <c r="D402" i="197" a="1"/>
  <c r="D111" i="197" a="1"/>
  <c r="D374" i="197" a="1"/>
  <c r="E145" i="197" a="1"/>
  <c r="E168" i="197" a="1"/>
  <c r="E427" i="197" a="1"/>
  <c r="E135" i="197" a="1"/>
  <c r="E646" i="197" a="1"/>
  <c r="D314" i="197" a="1"/>
  <c r="E389" i="197" a="1"/>
  <c r="E491" i="197" a="1"/>
  <c r="D430" i="197" a="1"/>
  <c r="D343" i="197" a="1"/>
  <c r="E460" i="197" a="1"/>
  <c r="E38" i="197" a="1"/>
  <c r="E536" i="197" a="1"/>
  <c r="E239" i="197" a="1"/>
  <c r="D158" i="197" a="1"/>
  <c r="E435" i="197" a="1"/>
  <c r="E548" i="197" a="1"/>
  <c r="E281" i="197" a="1"/>
  <c r="D385" i="197" a="1"/>
  <c r="E518" i="197" a="1"/>
  <c r="D352" i="197" a="1"/>
  <c r="D523" i="197" a="1"/>
  <c r="E609" i="197" a="1"/>
  <c r="D82" i="197" a="1"/>
  <c r="D398" i="197" a="1"/>
  <c r="E373" i="197" a="1"/>
  <c r="E470" i="197" a="1"/>
  <c r="E661" i="197" a="1"/>
  <c r="D268" i="197" a="1"/>
  <c r="D114" i="197" a="1"/>
  <c r="E300" i="197" a="1"/>
  <c r="D20" i="197" a="1"/>
  <c r="E638" i="197" a="1"/>
  <c r="E407" i="197" a="1"/>
  <c r="D624" i="197" a="1"/>
  <c r="D614" i="197" a="1"/>
  <c r="E25" i="197" a="1"/>
  <c r="E311" i="197" a="1"/>
  <c r="E148" i="197" a="1"/>
  <c r="D651" i="197" a="1"/>
  <c r="D328" i="197" a="1"/>
  <c r="D289" i="197" a="1"/>
  <c r="D415" i="197" a="1"/>
  <c r="E502" i="197" a="1"/>
  <c r="E161" i="197" a="1"/>
  <c r="E340" i="197" a="1"/>
  <c r="D281" i="197" a="1"/>
  <c r="E501" i="197" a="1"/>
  <c r="E327" i="197" a="1"/>
  <c r="D125" i="197" a="1"/>
  <c r="D92" i="197" a="1"/>
  <c r="D621" i="197" a="1"/>
  <c r="D495" i="197" a="1"/>
  <c r="E499" i="197" a="1"/>
  <c r="D486" i="197" a="1"/>
  <c r="E515" i="197" a="1"/>
  <c r="D321" i="197" a="1"/>
  <c r="D626" i="197" a="1"/>
  <c r="E512" i="197" a="1"/>
  <c r="D78" i="197" a="1"/>
  <c r="D372" i="197" a="1"/>
  <c r="E462" i="197" a="1"/>
  <c r="E282" i="197" a="1"/>
  <c r="E456" i="197" a="1"/>
  <c r="E589" i="197" a="1"/>
  <c r="D339" i="197" a="1"/>
  <c r="D266" i="197" a="1"/>
  <c r="D640" i="197" a="1"/>
  <c r="E94" i="197" a="1"/>
  <c r="E189" i="197" a="1"/>
  <c r="D16" i="197" a="1"/>
  <c r="D418" i="197" a="1"/>
  <c r="E312" i="197" a="1"/>
  <c r="E385" i="197" a="1"/>
  <c r="D194" i="197" a="1"/>
  <c r="E636" i="197" a="1"/>
  <c r="D465" i="197" a="1"/>
  <c r="E547" i="197" a="1"/>
  <c r="E320" i="197" a="1"/>
  <c r="D107" i="197" a="1"/>
  <c r="D442" i="197" a="1"/>
  <c r="D394" i="197" a="1"/>
  <c r="D117" i="197" a="1"/>
  <c r="E61" i="197" a="1"/>
  <c r="D292" i="197" a="1"/>
  <c r="E58" i="197" a="1"/>
  <c r="D380" i="197" a="1"/>
  <c r="E91" i="197" a="1"/>
  <c r="D99" i="197" a="1"/>
  <c r="D540" i="197" a="1"/>
  <c r="D481" i="197" a="1"/>
  <c r="D659" i="197" a="1"/>
  <c r="E594" i="197" a="1"/>
  <c r="E423" i="197" a="1"/>
  <c r="D508" i="197" a="1"/>
  <c r="D488" i="197" a="1"/>
  <c r="E416" i="197" a="1"/>
  <c r="D630" i="197" a="1"/>
  <c r="D391" i="197" a="1"/>
  <c r="E248" i="197" a="1"/>
  <c r="D118" i="197" a="1"/>
  <c r="E404" i="197" a="1"/>
  <c r="E596" i="197" a="1"/>
  <c r="E134" i="197" a="1"/>
  <c r="E254" i="197" a="1"/>
  <c r="D470" i="197" a="1"/>
  <c r="E485" i="197" a="1"/>
  <c r="E455" i="197" a="1"/>
  <c r="D127" i="197" a="1"/>
  <c r="D304" i="197" a="1"/>
  <c r="E631" i="197" a="1"/>
  <c r="E552" i="197" a="1"/>
  <c r="D68" i="197" a="1"/>
  <c r="E523" i="197" a="1"/>
  <c r="D393" i="197" a="1"/>
  <c r="E92" i="197" a="1"/>
  <c r="E299" i="197" a="1"/>
  <c r="E362" i="197" a="1"/>
  <c r="D327" i="197" a="1"/>
  <c r="E379" i="197" a="1"/>
  <c r="D110" i="197" a="1"/>
  <c r="E454" i="197" a="1"/>
  <c r="E96" i="197" a="1"/>
  <c r="D318" i="197" a="1"/>
  <c r="E121" i="197" a="1"/>
  <c r="E43" i="197" a="1"/>
  <c r="E60" i="197" a="1"/>
  <c r="E343" i="197" a="1"/>
  <c r="D317" i="197" a="1"/>
  <c r="D199" i="197" a="1"/>
  <c r="D83" i="197" a="1"/>
  <c r="E381" i="197" a="1"/>
  <c r="D291" i="197" a="1"/>
  <c r="E640" i="197" a="1"/>
  <c r="E567" i="197" a="1"/>
  <c r="D108" i="197" a="1"/>
  <c r="D315" i="197" a="1"/>
  <c r="D31" i="197" a="1"/>
  <c r="E88" i="197" a="1"/>
  <c r="D279" i="197" a="1"/>
  <c r="D443" i="197" a="1"/>
  <c r="E152" i="197" a="1"/>
  <c r="E236" i="197" a="1"/>
  <c r="D21" i="197" a="1"/>
  <c r="D147" i="197" a="1"/>
  <c r="E305" i="197" a="1"/>
  <c r="D489" i="197" a="1"/>
  <c r="D557" i="197" a="1"/>
  <c r="D316" i="197" a="1"/>
  <c r="E198" i="197" a="1"/>
  <c r="E447" i="197" a="1"/>
  <c r="D468" i="197" a="1"/>
  <c r="E31" i="197" a="1"/>
  <c r="D357" i="197" a="1"/>
  <c r="E654" i="197" a="1"/>
  <c r="E654" i="197" l="1"/>
  <c r="D357" i="197"/>
  <c r="E31" i="197"/>
  <c r="D468" i="197"/>
  <c r="E447" i="197"/>
  <c r="E198" i="197"/>
  <c r="D316" i="197"/>
  <c r="D557" i="197"/>
  <c r="D489" i="197"/>
  <c r="E305" i="197"/>
  <c r="D147" i="197"/>
  <c r="D21" i="197"/>
  <c r="E236" i="197"/>
  <c r="E152" i="197"/>
  <c r="D443" i="197"/>
  <c r="D279" i="197"/>
  <c r="E88" i="197"/>
  <c r="D31" i="197"/>
  <c r="D315" i="197"/>
  <c r="D108" i="197"/>
  <c r="E567" i="197"/>
  <c r="E640" i="197"/>
  <c r="D291" i="197"/>
  <c r="E381" i="197"/>
  <c r="D83" i="197"/>
  <c r="D199" i="197"/>
  <c r="D317" i="197"/>
  <c r="E343" i="197"/>
  <c r="E60" i="197"/>
  <c r="E43" i="197"/>
  <c r="E121" i="197"/>
  <c r="D318" i="197"/>
  <c r="E96" i="197"/>
  <c r="E454" i="197"/>
  <c r="D110" i="197"/>
  <c r="E379" i="197"/>
  <c r="D327" i="197"/>
  <c r="E362" i="197"/>
  <c r="E299" i="197"/>
  <c r="E92" i="197"/>
  <c r="D393" i="197"/>
  <c r="E523" i="197"/>
  <c r="D68" i="197"/>
  <c r="E552" i="197"/>
  <c r="E631" i="197"/>
  <c r="D304" i="197"/>
  <c r="D127" i="197"/>
  <c r="E455" i="197"/>
  <c r="E485" i="197"/>
  <c r="D470" i="197"/>
  <c r="E254" i="197"/>
  <c r="E134" i="197"/>
  <c r="E596" i="197"/>
  <c r="E404" i="197"/>
  <c r="D118" i="197"/>
  <c r="E248" i="197"/>
  <c r="D391" i="197"/>
  <c r="D630" i="197"/>
  <c r="E416" i="197"/>
  <c r="D488" i="197"/>
  <c r="D508" i="197"/>
  <c r="E423" i="197"/>
  <c r="E594" i="197"/>
  <c r="D659" i="197"/>
  <c r="D481" i="197"/>
  <c r="D540" i="197"/>
  <c r="D99" i="197"/>
  <c r="E91" i="197"/>
  <c r="D380" i="197"/>
  <c r="E58" i="197"/>
  <c r="D292" i="197"/>
  <c r="E61" i="197"/>
  <c r="D117" i="197"/>
  <c r="D394" i="197"/>
  <c r="D442" i="197"/>
  <c r="D107" i="197"/>
  <c r="E320" i="197"/>
  <c r="E547" i="197"/>
  <c r="D465" i="197"/>
  <c r="E636" i="197"/>
  <c r="D194" i="197"/>
  <c r="E385" i="197"/>
  <c r="E312" i="197"/>
  <c r="D418" i="197"/>
  <c r="D16" i="197"/>
  <c r="E189" i="197"/>
  <c r="E94" i="197"/>
  <c r="D640" i="197"/>
  <c r="D266" i="197"/>
  <c r="D339" i="197"/>
  <c r="E589" i="197"/>
  <c r="E456" i="197"/>
  <c r="E282" i="197"/>
  <c r="E462" i="197"/>
  <c r="D372" i="197"/>
  <c r="D78" i="197"/>
  <c r="E512" i="197"/>
  <c r="D626" i="197"/>
  <c r="D321" i="197"/>
  <c r="E515" i="197"/>
  <c r="D486" i="197"/>
  <c r="E499" i="197"/>
  <c r="D495" i="197"/>
  <c r="D621" i="197"/>
  <c r="D92" i="197"/>
  <c r="D125" i="197"/>
  <c r="E327" i="197"/>
  <c r="E501" i="197"/>
  <c r="D281" i="197"/>
  <c r="E340" i="197"/>
  <c r="E161" i="197"/>
  <c r="E502" i="197"/>
  <c r="D415" i="197"/>
  <c r="D289" i="197"/>
  <c r="D328" i="197"/>
  <c r="D651" i="197"/>
  <c r="E148" i="197"/>
  <c r="E311" i="197"/>
  <c r="E25" i="197"/>
  <c r="D614" i="197"/>
  <c r="D624" i="197"/>
  <c r="E407" i="197"/>
  <c r="E638" i="197"/>
  <c r="D20" i="197"/>
  <c r="E300" i="197"/>
  <c r="D114" i="197"/>
  <c r="D268" i="197"/>
  <c r="E661" i="197"/>
  <c r="E470" i="197"/>
  <c r="E373" i="197"/>
  <c r="D398" i="197"/>
  <c r="D82" i="197"/>
  <c r="E609" i="197"/>
  <c r="D523" i="197"/>
  <c r="D352" i="197"/>
  <c r="E518" i="197"/>
  <c r="D385" i="197"/>
  <c r="E281" i="197"/>
  <c r="E548" i="197"/>
  <c r="E435" i="197"/>
  <c r="D158" i="197"/>
  <c r="E239" i="197"/>
  <c r="E536" i="197"/>
  <c r="E38" i="197"/>
  <c r="E460" i="197"/>
  <c r="D343" i="197"/>
  <c r="D430" i="197"/>
  <c r="E491" i="197"/>
  <c r="E389" i="197"/>
  <c r="D314" i="197"/>
  <c r="E646" i="197"/>
  <c r="E135" i="197"/>
  <c r="E427" i="197"/>
  <c r="E168" i="197"/>
  <c r="E145" i="197"/>
  <c r="D374" i="197"/>
  <c r="D111" i="197"/>
  <c r="D402" i="197"/>
  <c r="D257" i="197"/>
  <c r="D491" i="197"/>
  <c r="E291" i="197"/>
  <c r="E262" i="197"/>
  <c r="D169" i="197"/>
  <c r="D541" i="197"/>
  <c r="D616" i="197"/>
  <c r="D50" i="197"/>
  <c r="D502" i="197"/>
  <c r="E653" i="197"/>
  <c r="E164" i="197"/>
  <c r="D477" i="197"/>
  <c r="D484" i="197"/>
  <c r="E143" i="197"/>
  <c r="D93" i="197"/>
  <c r="D168" i="197"/>
  <c r="D160" i="197"/>
  <c r="E256" i="197"/>
  <c r="E71" i="197"/>
  <c r="E196" i="197"/>
  <c r="E97" i="197"/>
  <c r="E129" i="197"/>
  <c r="E105" i="197"/>
  <c r="E292" i="197"/>
  <c r="D253" i="197"/>
  <c r="E494" i="197"/>
  <c r="E618" i="197"/>
  <c r="D441" i="197"/>
  <c r="E188" i="197"/>
  <c r="D171" i="197"/>
  <c r="E20" i="197"/>
  <c r="E67" i="197"/>
  <c r="D416" i="197"/>
  <c r="D490" i="197"/>
  <c r="D585" i="197"/>
  <c r="D612" i="197"/>
  <c r="D497" i="197"/>
  <c r="D94" i="197"/>
  <c r="D360" i="197"/>
  <c r="D191" i="197"/>
  <c r="D431" i="197"/>
  <c r="E363" i="197"/>
  <c r="E76" i="197"/>
  <c r="E496" i="197"/>
  <c r="E595" i="197"/>
  <c r="D32" i="197"/>
  <c r="E338" i="197"/>
  <c r="D138" i="197"/>
  <c r="D13" i="197"/>
  <c r="E613" i="197"/>
  <c r="D498" i="197"/>
  <c r="E98" i="197"/>
  <c r="E490" i="197"/>
  <c r="D505" i="197"/>
  <c r="D494" i="197"/>
  <c r="E150" i="197"/>
  <c r="E240" i="197"/>
  <c r="E614" i="197"/>
  <c r="D148" i="197"/>
  <c r="E478" i="197"/>
  <c r="E187" i="197"/>
  <c r="D650" i="197"/>
  <c r="E483" i="197"/>
  <c r="D467" i="197"/>
  <c r="E357" i="197"/>
  <c r="D550" i="197"/>
  <c r="E8" i="197"/>
  <c r="D103" i="197"/>
  <c r="D33" i="197"/>
  <c r="D482" i="197"/>
  <c r="E53" i="197"/>
  <c r="E146" i="197"/>
  <c r="D27" i="197"/>
  <c r="D445" i="197"/>
  <c r="E517" i="197"/>
  <c r="E128" i="197"/>
  <c r="D4" i="197"/>
  <c r="D106" i="197"/>
  <c r="D658" i="197"/>
  <c r="E514" i="197"/>
  <c r="E51" i="197"/>
  <c r="D104" i="197"/>
  <c r="E87" i="197"/>
  <c r="E565" i="197"/>
  <c r="E170" i="197"/>
  <c r="D619" i="197"/>
  <c r="E505" i="197"/>
  <c r="E353" i="197"/>
  <c r="E41" i="197"/>
  <c r="E32" i="197"/>
  <c r="E580" i="197"/>
  <c r="E33" i="197"/>
  <c r="D434" i="197"/>
  <c r="D150" i="197"/>
  <c r="D67" i="197"/>
  <c r="E411" i="197"/>
  <c r="E42" i="197"/>
  <c r="E619" i="197"/>
  <c r="D485" i="197"/>
  <c r="E522" i="197"/>
  <c r="D622" i="197"/>
  <c r="D64" i="197"/>
  <c r="E493" i="197"/>
  <c r="D493" i="197"/>
  <c r="E337" i="197"/>
  <c r="D636" i="197"/>
  <c r="D501" i="197"/>
  <c r="E160" i="197"/>
  <c r="D198" i="197"/>
  <c r="D537" i="197"/>
  <c r="E509" i="197"/>
  <c r="D302" i="197"/>
  <c r="D70" i="197"/>
  <c r="D519" i="197"/>
  <c r="E659" i="197"/>
  <c r="E421" i="197"/>
  <c r="D232" i="197"/>
  <c r="D145" i="197"/>
  <c r="D89" i="197"/>
  <c r="D323" i="197"/>
  <c r="E46" i="197"/>
  <c r="E442" i="197"/>
  <c r="D240" i="197"/>
  <c r="D42" i="197"/>
  <c r="D163" i="197"/>
  <c r="D354" i="197"/>
  <c r="E119" i="197"/>
  <c r="E582" i="197"/>
  <c r="D342" i="197"/>
  <c r="D552" i="197"/>
  <c r="E632" i="197"/>
  <c r="E264" i="197"/>
  <c r="E304" i="197"/>
  <c r="E72" i="197"/>
  <c r="D604" i="197"/>
  <c r="D235" i="197"/>
  <c r="E412" i="197"/>
  <c r="D348" i="197"/>
  <c r="E597" i="197"/>
  <c r="E398" i="197"/>
  <c r="E463" i="197"/>
  <c r="D353" i="197"/>
  <c r="E377" i="197"/>
  <c r="D583" i="197"/>
  <c r="E617" i="197"/>
  <c r="D7" i="197"/>
  <c r="E417" i="197"/>
  <c r="D267" i="197"/>
  <c r="E524" i="197"/>
  <c r="D661" i="197"/>
  <c r="D471" i="197"/>
  <c r="D597" i="197"/>
  <c r="D126" i="197"/>
  <c r="E7" i="197"/>
  <c r="E162" i="197"/>
  <c r="E541" i="197"/>
  <c r="D254" i="197"/>
  <c r="E242" i="197"/>
  <c r="D290" i="197"/>
  <c r="E265" i="197"/>
  <c r="D395" i="197"/>
  <c r="D287" i="197"/>
  <c r="E434" i="197"/>
  <c r="D334" i="197"/>
  <c r="D649" i="197"/>
  <c r="D37" i="197"/>
  <c r="E394" i="197"/>
  <c r="D299" i="197"/>
  <c r="D397" i="197"/>
  <c r="E193" i="197"/>
  <c r="D556" i="197"/>
  <c r="E108" i="197"/>
  <c r="D156" i="197"/>
  <c r="D422" i="197"/>
  <c r="E641" i="197"/>
  <c r="E29" i="197"/>
  <c r="D101" i="197"/>
  <c r="D270" i="197"/>
  <c r="E273" i="197"/>
  <c r="E391" i="197"/>
  <c r="E293" i="197"/>
  <c r="E332" i="197"/>
  <c r="D18" i="197"/>
  <c r="E89" i="197"/>
  <c r="E566" i="197"/>
  <c r="D524" i="197"/>
  <c r="E446" i="197"/>
  <c r="E306" i="197"/>
  <c r="D187" i="197"/>
  <c r="D44" i="197"/>
  <c r="E294" i="197"/>
  <c r="D509" i="197"/>
  <c r="E581" i="197"/>
  <c r="E644" i="197"/>
  <c r="D401" i="197"/>
  <c r="D97" i="197"/>
  <c r="D250" i="197"/>
  <c r="E355" i="197"/>
  <c r="D19" i="197"/>
  <c r="D413" i="197"/>
  <c r="D629" i="197"/>
  <c r="D122" i="197"/>
  <c r="E289" i="197"/>
  <c r="D492" i="197"/>
  <c r="D520" i="197"/>
  <c r="E406" i="197"/>
  <c r="E629" i="197"/>
  <c r="E139" i="197"/>
  <c r="D261" i="197"/>
  <c r="D159" i="197"/>
  <c r="E127" i="197"/>
  <c r="E330" i="197"/>
  <c r="E288" i="197"/>
  <c r="D634" i="197"/>
  <c r="E102" i="197"/>
  <c r="D9" i="197"/>
  <c r="E107" i="197"/>
  <c r="E11" i="197"/>
  <c r="E433" i="197"/>
  <c r="E16" i="197"/>
  <c r="D563" i="197"/>
  <c r="D420" i="197"/>
  <c r="D589" i="197"/>
  <c r="E302" i="197"/>
  <c r="E55" i="197"/>
  <c r="D24" i="197"/>
  <c r="D59" i="197"/>
  <c r="D571" i="197"/>
  <c r="D411" i="197"/>
  <c r="E358" i="197"/>
  <c r="D644" i="197"/>
  <c r="D259" i="197"/>
  <c r="D631" i="197"/>
  <c r="D455" i="197"/>
  <c r="D375" i="197"/>
  <c r="E508" i="197"/>
  <c r="E274" i="197"/>
  <c r="E642" i="197"/>
  <c r="E24" i="197"/>
  <c r="E95" i="197"/>
  <c r="E250" i="197"/>
  <c r="D79" i="197"/>
  <c r="D637" i="197"/>
  <c r="E488" i="197"/>
  <c r="E136" i="197"/>
  <c r="E570" i="197"/>
  <c r="E611" i="197"/>
  <c r="D137" i="197"/>
  <c r="E126" i="197"/>
  <c r="E147" i="197"/>
  <c r="E469" i="197"/>
  <c r="E348" i="197"/>
  <c r="D473" i="197"/>
  <c r="E479" i="197"/>
  <c r="E648" i="197"/>
  <c r="D288" i="197"/>
  <c r="D69" i="197"/>
  <c r="E361" i="197"/>
  <c r="D98" i="197"/>
  <c r="E124" i="197"/>
  <c r="D654" i="197"/>
  <c r="D475" i="197"/>
  <c r="D379" i="197"/>
  <c r="E284" i="197"/>
  <c r="D162" i="197"/>
  <c r="E120" i="197"/>
  <c r="E572" i="197"/>
  <c r="D595" i="197"/>
  <c r="E157" i="197"/>
  <c r="D185" i="197"/>
  <c r="E200" i="197"/>
  <c r="D58" i="197"/>
  <c r="E419" i="197"/>
  <c r="D459" i="197"/>
  <c r="D598" i="197"/>
  <c r="D426" i="197"/>
  <c r="E354" i="197"/>
  <c r="E313" i="197"/>
  <c r="D396" i="197"/>
  <c r="E113" i="197"/>
  <c r="D580" i="197"/>
  <c r="E482" i="197"/>
  <c r="E65" i="197"/>
  <c r="D373" i="197"/>
  <c r="E191" i="197"/>
  <c r="D588" i="197"/>
  <c r="D29" i="197"/>
  <c r="E374" i="197"/>
  <c r="E245" i="197"/>
  <c r="D511" i="197"/>
  <c r="D8" i="197"/>
  <c r="D575" i="197"/>
  <c r="D435" i="197"/>
  <c r="D34" i="197"/>
  <c r="D499" i="197"/>
  <c r="E453" i="197"/>
  <c r="E323" i="197"/>
  <c r="E506" i="197"/>
  <c r="D264" i="197"/>
  <c r="D534" i="197"/>
  <c r="E556" i="197"/>
  <c r="E577" i="197"/>
  <c r="D319" i="197"/>
  <c r="D36" i="197"/>
  <c r="E645" i="197"/>
  <c r="E445" i="197"/>
  <c r="E77" i="197"/>
  <c r="D584" i="197"/>
  <c r="E163" i="197"/>
  <c r="E75" i="197"/>
  <c r="D144" i="197"/>
  <c r="D363" i="197"/>
  <c r="D480" i="197"/>
  <c r="E22" i="197"/>
  <c r="E634" i="197"/>
  <c r="E401" i="197"/>
  <c r="E171" i="197"/>
  <c r="D603" i="197"/>
  <c r="E125" i="197"/>
  <c r="E495" i="197"/>
  <c r="D369" i="197"/>
  <c r="E432" i="197"/>
  <c r="E154" i="197"/>
  <c r="D463" i="197"/>
  <c r="D559" i="197"/>
  <c r="D504" i="197"/>
  <c r="D628" i="197"/>
  <c r="E350" i="197"/>
  <c r="D606" i="197"/>
  <c r="D167" i="197"/>
  <c r="E297" i="197"/>
  <c r="E575" i="197"/>
  <c r="D366" i="197"/>
  <c r="D337" i="197"/>
  <c r="E100" i="197"/>
  <c r="D454" i="197"/>
  <c r="E378" i="197"/>
  <c r="E247" i="197"/>
  <c r="D312" i="197"/>
  <c r="D76" i="197"/>
  <c r="D87" i="197"/>
  <c r="E457" i="197"/>
  <c r="E584" i="197"/>
  <c r="E308" i="197"/>
  <c r="D141" i="197"/>
  <c r="D573" i="197"/>
  <c r="E295" i="197"/>
  <c r="D284" i="197"/>
  <c r="E418" i="197"/>
  <c r="E153" i="197"/>
  <c r="D329" i="197"/>
  <c r="D23" i="197"/>
  <c r="D128" i="197"/>
  <c r="E74" i="197"/>
  <c r="D642" i="197"/>
  <c r="D330" i="197"/>
  <c r="E275" i="197"/>
  <c r="E628" i="197"/>
  <c r="E422" i="197"/>
  <c r="E310" i="197"/>
  <c r="D278" i="197"/>
  <c r="E545" i="197"/>
  <c r="D201" i="197"/>
  <c r="D55" i="197"/>
  <c r="D577" i="197"/>
  <c r="D535" i="197"/>
  <c r="E426" i="197"/>
  <c r="D643" i="197"/>
  <c r="E81" i="197"/>
  <c r="D326" i="197"/>
  <c r="E366" i="197"/>
  <c r="E395" i="197"/>
  <c r="D309" i="197"/>
  <c r="D355" i="197"/>
  <c r="D41" i="197"/>
  <c r="E586" i="197"/>
  <c r="E54" i="197"/>
  <c r="E118" i="197"/>
  <c r="E155" i="197"/>
  <c r="D560" i="197"/>
  <c r="D40" i="197"/>
  <c r="E345" i="197"/>
  <c r="E542" i="197"/>
  <c r="D269" i="197"/>
  <c r="E251" i="197"/>
  <c r="E203" i="197"/>
  <c r="E425" i="197"/>
  <c r="D617" i="197"/>
  <c r="E579" i="197"/>
  <c r="D496" i="197"/>
  <c r="E156" i="197"/>
  <c r="E258" i="197"/>
  <c r="D273" i="197"/>
  <c r="D656" i="197"/>
  <c r="E85" i="197"/>
  <c r="D510" i="197"/>
  <c r="E555" i="197"/>
  <c r="E169" i="197"/>
  <c r="E347" i="197"/>
  <c r="E321" i="197"/>
  <c r="D320" i="197"/>
  <c r="D638" i="197"/>
  <c r="E429" i="197"/>
  <c r="D364" i="197"/>
  <c r="E554" i="197"/>
  <c r="D188" i="197"/>
  <c r="E606" i="197"/>
  <c r="D234" i="197"/>
  <c r="D263" i="197"/>
  <c r="E166" i="197"/>
  <c r="D305" i="197"/>
  <c r="D203" i="197"/>
  <c r="E534" i="197"/>
  <c r="E384" i="197"/>
  <c r="D487" i="197"/>
  <c r="E235" i="197"/>
  <c r="D48" i="197"/>
  <c r="D472" i="197"/>
  <c r="E468" i="197"/>
  <c r="E441" i="197"/>
  <c r="D336" i="197"/>
  <c r="E376" i="197"/>
  <c r="D446" i="197"/>
  <c r="E568" i="197"/>
  <c r="E600" i="197"/>
  <c r="E255" i="197"/>
  <c r="E450" i="197"/>
  <c r="E130" i="197"/>
  <c r="E359" i="197"/>
  <c r="D579" i="197"/>
  <c r="D362" i="197"/>
  <c r="E503" i="197"/>
  <c r="D166" i="197"/>
  <c r="E90" i="197"/>
  <c r="D424" i="197"/>
  <c r="E615" i="197"/>
  <c r="E622" i="197"/>
  <c r="D474" i="197"/>
  <c r="D155" i="197"/>
  <c r="E133" i="197"/>
  <c r="E36" i="197"/>
  <c r="E557" i="197"/>
  <c r="D45" i="197"/>
  <c r="E234" i="197"/>
  <c r="D195" i="197"/>
  <c r="D456" i="197"/>
  <c r="E400" i="197"/>
  <c r="E390" i="197"/>
  <c r="D14" i="197"/>
  <c r="E583" i="197"/>
  <c r="D341" i="197"/>
  <c r="D569" i="197"/>
  <c r="E621" i="197"/>
  <c r="D633" i="197"/>
  <c r="D192" i="197"/>
  <c r="D303" i="197"/>
  <c r="D350" i="197"/>
  <c r="D300" i="197"/>
  <c r="D91" i="197"/>
  <c r="E487" i="197"/>
  <c r="E28" i="197"/>
  <c r="D593" i="197"/>
  <c r="E550" i="197"/>
  <c r="D256" i="197"/>
  <c r="E481" i="197"/>
  <c r="D161" i="197"/>
  <c r="D124" i="197"/>
  <c r="D265" i="197"/>
  <c r="E15" i="197"/>
  <c r="D338" i="197"/>
  <c r="D361" i="197"/>
  <c r="E612" i="197"/>
  <c r="D378" i="197"/>
  <c r="D280" i="197"/>
  <c r="E158" i="197"/>
  <c r="D344" i="197"/>
  <c r="D483" i="197"/>
  <c r="E439" i="197"/>
  <c r="E233" i="197"/>
  <c r="E651" i="197"/>
  <c r="D403" i="197"/>
  <c r="D57" i="197"/>
  <c r="D461" i="197"/>
  <c r="D283" i="197"/>
  <c r="D466" i="197"/>
  <c r="D165" i="197"/>
  <c r="D370" i="197"/>
  <c r="D80" i="197"/>
  <c r="D517" i="197"/>
  <c r="E510" i="197"/>
  <c r="E315" i="197"/>
  <c r="E167" i="197"/>
  <c r="E21" i="197"/>
  <c r="E610" i="197"/>
  <c r="D277" i="197"/>
  <c r="E40" i="197"/>
  <c r="E23" i="197"/>
  <c r="E93" i="197"/>
  <c r="E650" i="197"/>
  <c r="E322" i="197"/>
  <c r="E449" i="197"/>
  <c r="D371" i="197"/>
  <c r="D479" i="197"/>
  <c r="D243" i="197"/>
  <c r="D414" i="197"/>
  <c r="E303" i="197"/>
  <c r="D146" i="197"/>
  <c r="E194" i="197"/>
  <c r="D417" i="197"/>
  <c r="E199" i="197"/>
  <c r="E5" i="197"/>
  <c r="D409" i="197"/>
  <c r="E399" i="197"/>
  <c r="D407" i="197"/>
  <c r="D653" i="197"/>
  <c r="D95" i="197"/>
  <c r="D478" i="197"/>
  <c r="E232" i="197"/>
  <c r="D503" i="197"/>
  <c r="D61" i="197"/>
  <c r="E539" i="197"/>
  <c r="D400" i="197"/>
  <c r="E79" i="197"/>
  <c r="D47" i="197"/>
  <c r="E472" i="197"/>
  <c r="E252" i="197"/>
  <c r="E78" i="197"/>
  <c r="E655" i="197"/>
  <c r="D627" i="197"/>
  <c r="D367" i="197"/>
  <c r="E17" i="197"/>
  <c r="E437" i="197"/>
  <c r="E26" i="197"/>
  <c r="E138" i="197"/>
  <c r="D100" i="197"/>
  <c r="E599" i="197"/>
  <c r="D376" i="197"/>
  <c r="E257" i="197"/>
  <c r="E591" i="197"/>
  <c r="D129" i="197"/>
  <c r="E452" i="197"/>
  <c r="E405" i="197"/>
  <c r="E132" i="197"/>
  <c r="E498" i="197"/>
  <c r="D383" i="197"/>
  <c r="D22" i="197"/>
  <c r="D596" i="197"/>
  <c r="E149" i="197"/>
  <c r="D131" i="197"/>
  <c r="E346" i="197"/>
  <c r="D538" i="197"/>
  <c r="D154" i="197"/>
  <c r="E484" i="197"/>
  <c r="E544" i="197"/>
  <c r="D457" i="197"/>
  <c r="D623" i="197"/>
  <c r="D351" i="197"/>
  <c r="D172" i="197"/>
  <c r="D641" i="197"/>
  <c r="E246" i="197"/>
  <c r="E290" i="197"/>
  <c r="D543" i="197"/>
  <c r="E142" i="197"/>
  <c r="D238" i="197"/>
  <c r="D297" i="197"/>
  <c r="D381" i="197"/>
  <c r="D246" i="197"/>
  <c r="E80" i="197"/>
  <c r="D255" i="197"/>
  <c r="D12" i="197"/>
  <c r="E356" i="197"/>
  <c r="D399" i="197"/>
  <c r="D594" i="197"/>
  <c r="E393" i="197"/>
  <c r="E471" i="197"/>
  <c r="E497" i="197"/>
  <c r="E63" i="197"/>
  <c r="E504" i="197"/>
  <c r="D618" i="197"/>
  <c r="D453" i="197"/>
  <c r="E137" i="197"/>
  <c r="D632" i="197"/>
  <c r="D49" i="197"/>
  <c r="E27" i="197"/>
  <c r="D536" i="197"/>
  <c r="E283" i="197"/>
  <c r="D96" i="197"/>
  <c r="E440" i="197"/>
  <c r="E383" i="197"/>
  <c r="D286" i="197"/>
  <c r="D335" i="197"/>
  <c r="E369" i="197"/>
  <c r="D239" i="197"/>
  <c r="E643" i="197"/>
  <c r="D25" i="197"/>
  <c r="E601" i="197"/>
  <c r="E267" i="197"/>
  <c r="E559" i="197"/>
  <c r="D86" i="197"/>
  <c r="D451" i="197"/>
  <c r="E623" i="197"/>
  <c r="E263" i="197"/>
  <c r="D392" i="197"/>
  <c r="D123" i="197"/>
  <c r="D63" i="197"/>
  <c r="D564" i="197"/>
  <c r="E64" i="197"/>
  <c r="D275" i="197"/>
  <c r="D164" i="197"/>
  <c r="D460" i="197"/>
  <c r="E637" i="197"/>
  <c r="E486" i="197"/>
  <c r="E172" i="197"/>
  <c r="D313" i="197"/>
  <c r="D157" i="197"/>
  <c r="D102" i="197"/>
  <c r="D52" i="197"/>
  <c r="E368" i="197"/>
  <c r="E318" i="197"/>
  <c r="E658" i="197"/>
  <c r="D635" i="197"/>
  <c r="D648" i="197"/>
  <c r="E520" i="197"/>
  <c r="E430" i="197"/>
  <c r="E109" i="197"/>
  <c r="E607" i="197"/>
  <c r="D11" i="197"/>
  <c r="D377" i="197"/>
  <c r="D325" i="197"/>
  <c r="E364" i="197"/>
  <c r="E576" i="197"/>
  <c r="D73" i="197"/>
  <c r="D660" i="197"/>
  <c r="D389" i="197"/>
  <c r="E593" i="197"/>
  <c r="E624" i="197"/>
  <c r="E69" i="197"/>
  <c r="E59" i="197"/>
  <c r="D646" i="197"/>
  <c r="E14" i="197"/>
  <c r="E475" i="197"/>
  <c r="D294" i="197"/>
  <c r="E243" i="197"/>
  <c r="D308" i="197"/>
  <c r="E111" i="197"/>
  <c r="E409" i="197"/>
  <c r="D449" i="197"/>
  <c r="D333" i="197"/>
  <c r="E314" i="197"/>
  <c r="E444" i="197"/>
  <c r="D5" i="197"/>
  <c r="E117" i="197"/>
  <c r="D306" i="197"/>
  <c r="E317" i="197"/>
  <c r="D109" i="197"/>
  <c r="E605" i="197"/>
  <c r="D310" i="197"/>
  <c r="E56" i="197"/>
  <c r="E123" i="197"/>
  <c r="D450" i="197"/>
  <c r="E34" i="197"/>
  <c r="E465" i="197"/>
  <c r="D545" i="197"/>
  <c r="D170" i="197"/>
  <c r="E99" i="197"/>
  <c r="D439" i="197"/>
  <c r="E195" i="197"/>
  <c r="D248" i="197"/>
  <c r="E104" i="197"/>
  <c r="E48" i="197"/>
  <c r="D244" i="197"/>
  <c r="E489" i="197"/>
  <c r="D570" i="197"/>
  <c r="D522" i="197"/>
  <c r="E6" i="197"/>
  <c r="E592" i="197"/>
  <c r="E372" i="197"/>
  <c r="D542" i="197"/>
  <c r="E325" i="197"/>
  <c r="D419" i="197"/>
  <c r="D410" i="197"/>
  <c r="E657" i="197"/>
  <c r="D432" i="197"/>
  <c r="E553" i="197"/>
  <c r="E569" i="197"/>
  <c r="D149" i="197"/>
  <c r="D512" i="197"/>
  <c r="E562" i="197"/>
  <c r="E647" i="197"/>
  <c r="D293" i="197"/>
  <c r="E535" i="197"/>
  <c r="D121" i="197"/>
  <c r="D655" i="197"/>
  <c r="E335" i="197"/>
  <c r="D54" i="197"/>
  <c r="E35" i="197"/>
  <c r="E585" i="197"/>
  <c r="E578" i="197"/>
  <c r="E328" i="197"/>
  <c r="D600" i="197"/>
  <c r="D359" i="197"/>
  <c r="D647" i="197"/>
  <c r="E70" i="197"/>
  <c r="D581" i="197"/>
  <c r="E324" i="197"/>
  <c r="E122" i="197"/>
  <c r="E47" i="197"/>
  <c r="E410" i="197"/>
  <c r="D568" i="197"/>
  <c r="E649" i="197"/>
  <c r="D548" i="197"/>
  <c r="E185" i="197"/>
  <c r="D340" i="197"/>
  <c r="E473" i="197"/>
  <c r="E500" i="197"/>
  <c r="E561" i="197"/>
  <c r="D620" i="197"/>
  <c r="D562" i="197"/>
  <c r="E602" i="197"/>
  <c r="D72" i="197"/>
  <c r="E10" i="197"/>
  <c r="D476" i="197"/>
  <c r="E144" i="197"/>
  <c r="D197" i="197"/>
  <c r="D245" i="197"/>
  <c r="E62" i="197"/>
  <c r="D544" i="197"/>
  <c r="E349" i="197"/>
  <c r="D301" i="197"/>
  <c r="D295" i="197"/>
  <c r="D608" i="197"/>
  <c r="D576" i="197"/>
  <c r="D136" i="197"/>
  <c r="E116" i="197"/>
  <c r="D331" i="197"/>
  <c r="E279" i="197"/>
  <c r="E296" i="197"/>
  <c r="D262" i="197"/>
  <c r="D447" i="197"/>
  <c r="D368" i="197"/>
  <c r="D30" i="197"/>
  <c r="E551" i="197"/>
  <c r="E13" i="197"/>
  <c r="D591" i="197"/>
  <c r="D406" i="197"/>
  <c r="D143" i="197"/>
  <c r="D546" i="197"/>
  <c r="E382" i="197"/>
  <c r="D384" i="197"/>
  <c r="E443" i="197"/>
  <c r="E101" i="197"/>
  <c r="E392" i="197"/>
  <c r="E635" i="197"/>
  <c r="D285" i="197"/>
  <c r="D193" i="197"/>
  <c r="D590" i="197"/>
  <c r="E241" i="197"/>
  <c r="E277" i="197"/>
  <c r="D332" i="197"/>
  <c r="D120" i="197"/>
  <c r="E451" i="197"/>
  <c r="D567" i="197"/>
  <c r="E331" i="197"/>
  <c r="E477" i="197"/>
  <c r="D139" i="197"/>
  <c r="D311" i="197"/>
  <c r="E431" i="197"/>
  <c r="E633" i="197"/>
  <c r="E521" i="197"/>
  <c r="E474" i="197"/>
  <c r="E587" i="197"/>
  <c r="D657" i="197"/>
  <c r="D558" i="197"/>
  <c r="D233" i="197"/>
  <c r="E424" i="197"/>
  <c r="D271" i="197"/>
  <c r="E141" i="197"/>
  <c r="D140" i="197"/>
  <c r="D88" i="197"/>
  <c r="D274" i="197"/>
  <c r="E12" i="197"/>
  <c r="D513" i="197"/>
  <c r="D46" i="197"/>
  <c r="E336" i="197"/>
  <c r="D586" i="197"/>
  <c r="E270" i="197"/>
  <c r="E333" i="197"/>
  <c r="D601" i="197"/>
  <c r="D566" i="197"/>
  <c r="D549" i="197"/>
  <c r="E112" i="197"/>
  <c r="E4" i="197"/>
  <c r="D276" i="197"/>
  <c r="E165" i="197"/>
  <c r="D200" i="197"/>
  <c r="E546" i="197"/>
  <c r="D189" i="197"/>
  <c r="D462" i="197"/>
  <c r="E360" i="197"/>
  <c r="E307" i="197"/>
  <c r="E464" i="197"/>
  <c r="E467" i="197"/>
  <c r="E341" i="197"/>
  <c r="D605" i="197"/>
  <c r="D112" i="197"/>
  <c r="E396" i="197"/>
  <c r="E103" i="197"/>
  <c r="E319" i="197"/>
  <c r="D561" i="197"/>
  <c r="D437" i="197"/>
  <c r="E461" i="197"/>
  <c r="E44" i="197"/>
  <c r="D75" i="197"/>
  <c r="E513" i="197"/>
  <c r="E68" i="197"/>
  <c r="E549" i="197"/>
  <c r="E201" i="197"/>
  <c r="D356" i="197"/>
  <c r="E420" i="197"/>
  <c r="E192" i="197"/>
  <c r="D17" i="197"/>
  <c r="D81" i="197"/>
  <c r="D428" i="197"/>
  <c r="E625" i="197"/>
  <c r="D74" i="197"/>
  <c r="D609" i="197"/>
  <c r="E18" i="197"/>
  <c r="E278" i="197"/>
  <c r="D202" i="197"/>
  <c r="E397" i="197"/>
  <c r="E19" i="197"/>
  <c r="E84" i="197"/>
  <c r="D438" i="197"/>
  <c r="E616" i="197"/>
  <c r="D382" i="197"/>
  <c r="E244" i="197"/>
  <c r="D236" i="197"/>
  <c r="E237" i="197"/>
  <c r="D237" i="197"/>
  <c r="E436" i="197"/>
  <c r="E238" i="197"/>
  <c r="E115" i="197"/>
  <c r="E540" i="197"/>
  <c r="D551" i="197"/>
  <c r="E286" i="197"/>
  <c r="D578" i="197"/>
  <c r="D28" i="197"/>
  <c r="E50" i="197"/>
  <c r="E186" i="197"/>
  <c r="E52" i="197"/>
  <c r="D469" i="197"/>
  <c r="D186" i="197"/>
  <c r="D349" i="197"/>
  <c r="D324" i="197"/>
  <c r="D115" i="197"/>
  <c r="E403" i="197"/>
  <c r="E365" i="197"/>
  <c r="D555" i="197"/>
  <c r="E276" i="197"/>
  <c r="D607" i="197"/>
  <c r="D440" i="197"/>
  <c r="E159" i="197"/>
  <c r="D66" i="197"/>
  <c r="D6" i="197"/>
  <c r="D611" i="197"/>
  <c r="E375" i="197"/>
  <c r="D282" i="197"/>
  <c r="D615" i="197"/>
  <c r="D539" i="197"/>
  <c r="D62" i="197"/>
  <c r="D119" i="197"/>
  <c r="E344" i="197"/>
  <c r="E639" i="197"/>
  <c r="D592" i="197"/>
  <c r="E253" i="197"/>
  <c r="D565" i="197"/>
  <c r="E558" i="197"/>
  <c r="E9" i="197"/>
  <c r="E574" i="197"/>
  <c r="D386" i="197"/>
  <c r="D645" i="197"/>
  <c r="E480" i="197"/>
  <c r="E342" i="197"/>
  <c r="E537" i="197"/>
  <c r="E285" i="197"/>
  <c r="D652" i="197"/>
  <c r="E106" i="197"/>
  <c r="E519" i="197"/>
  <c r="D51" i="197"/>
  <c r="D358" i="197"/>
  <c r="D113" i="197"/>
  <c r="E656" i="197"/>
  <c r="D134" i="197"/>
  <c r="E131" i="197"/>
  <c r="D514" i="197"/>
  <c r="D251" i="197"/>
  <c r="D599" i="197"/>
  <c r="E564" i="197"/>
  <c r="E114" i="197"/>
  <c r="E538" i="197"/>
  <c r="E351" i="197"/>
  <c r="E660" i="197"/>
  <c r="D365" i="197"/>
  <c r="D423" i="197"/>
  <c r="E438" i="197"/>
  <c r="E402" i="197"/>
  <c r="D249" i="197"/>
  <c r="E86" i="197"/>
  <c r="E287" i="197"/>
  <c r="D345" i="197"/>
  <c r="E413" i="197"/>
  <c r="D518" i="197"/>
  <c r="E309" i="197"/>
  <c r="D613" i="197"/>
  <c r="D574" i="197"/>
  <c r="E428" i="197"/>
  <c r="E30" i="197"/>
  <c r="D135" i="197"/>
  <c r="E39" i="197"/>
  <c r="E249" i="197"/>
  <c r="E66" i="197"/>
  <c r="D130" i="197"/>
  <c r="D521" i="197"/>
  <c r="D56" i="197"/>
  <c r="E630" i="197"/>
  <c r="D425" i="197"/>
  <c r="D610" i="197"/>
  <c r="E408" i="197"/>
  <c r="E272" i="197"/>
  <c r="E352" i="197"/>
  <c r="E604" i="197"/>
  <c r="D452" i="197"/>
  <c r="E271" i="197"/>
  <c r="E83" i="197"/>
  <c r="D572" i="197"/>
  <c r="E598" i="197"/>
  <c r="D322" i="197"/>
  <c r="D307" i="197"/>
  <c r="D412" i="197"/>
  <c r="E266" i="197"/>
  <c r="D71" i="197"/>
  <c r="D516" i="197"/>
  <c r="D60" i="197"/>
  <c r="D84" i="197"/>
  <c r="E197" i="197"/>
  <c r="E370" i="197"/>
  <c r="E367" i="197"/>
  <c r="D38" i="197"/>
  <c r="E415" i="197"/>
  <c r="E466" i="197"/>
  <c r="E140" i="197"/>
  <c r="D625" i="197"/>
  <c r="D152" i="197"/>
  <c r="E49" i="197"/>
  <c r="E316" i="197"/>
  <c r="D427" i="197"/>
  <c r="D298" i="197"/>
  <c r="E571" i="197"/>
  <c r="D587" i="197"/>
  <c r="E627" i="197"/>
  <c r="E620" i="197"/>
  <c r="D421" i="197"/>
  <c r="D515" i="197"/>
  <c r="E73" i="197"/>
  <c r="E652" i="197"/>
  <c r="E507" i="197"/>
  <c r="D90" i="197"/>
  <c r="D408" i="197"/>
  <c r="E202" i="197"/>
  <c r="D347" i="197"/>
  <c r="D547" i="197"/>
  <c r="E414" i="197"/>
  <c r="D272" i="197"/>
  <c r="E492" i="197"/>
  <c r="D464" i="197"/>
  <c r="D436" i="197"/>
  <c r="E57" i="197"/>
  <c r="E386" i="197"/>
  <c r="D387" i="197"/>
  <c r="E37" i="197"/>
  <c r="E590" i="197"/>
  <c r="E326" i="197"/>
  <c r="E82" i="197"/>
  <c r="D553" i="197"/>
  <c r="D10" i="197"/>
  <c r="D582" i="197"/>
  <c r="E269" i="197"/>
  <c r="D433" i="197"/>
  <c r="D242" i="197"/>
  <c r="D26" i="197"/>
  <c r="E259" i="197"/>
  <c r="D554" i="197"/>
  <c r="D296" i="197"/>
  <c r="E110" i="197"/>
  <c r="E560" i="197"/>
  <c r="E511" i="197"/>
  <c r="E298" i="197"/>
  <c r="D429" i="197"/>
  <c r="E626" i="197"/>
  <c r="E563" i="197"/>
  <c r="D404" i="197"/>
  <c r="E543" i="197"/>
  <c r="D241" i="197"/>
  <c r="D196" i="197"/>
  <c r="D602" i="197"/>
  <c r="D133" i="197"/>
  <c r="D132" i="197"/>
  <c r="D105" i="197"/>
  <c r="D116" i="197"/>
  <c r="E280" i="197"/>
  <c r="D43" i="197"/>
  <c r="E334" i="197"/>
  <c r="D252" i="197"/>
  <c r="D142" i="197"/>
  <c r="D153" i="197"/>
  <c r="E516" i="197"/>
  <c r="E371" i="197"/>
  <c r="E268" i="197"/>
  <c r="D35" i="197"/>
  <c r="D639" i="197"/>
  <c r="D346" i="197"/>
  <c r="E608" i="197"/>
  <c r="E261" i="197"/>
  <c r="D65" i="197"/>
  <c r="D53" i="197"/>
  <c r="E588" i="197"/>
  <c r="D15" i="197"/>
  <c r="E476" i="197"/>
  <c r="E387" i="197"/>
  <c r="D444" i="197"/>
  <c r="D258" i="197"/>
  <c r="D85" i="197"/>
  <c r="E329" i="197"/>
  <c r="D405" i="197"/>
  <c r="E45" i="197"/>
  <c r="D500" i="197"/>
  <c r="E301" i="197"/>
  <c r="E459" i="197"/>
  <c r="E603" i="197"/>
  <c r="E380" i="197"/>
  <c r="E339" i="197"/>
  <c r="D77" i="197"/>
  <c r="D247" i="1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Halina</author>
  </authors>
  <commentList>
    <comment ref="L35" authorId="0" shapeId="0" xr:uid="{D2D649EA-D4EF-4AF2-BACB-4E1D7744C5E6}">
      <text>
        <r>
          <rPr>
            <b/>
            <sz val="9"/>
            <color indexed="81"/>
            <rFont val="Tahoma"/>
            <family val="2"/>
          </rPr>
          <t>Halina:  was hidden, may be reinstated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Halina</author>
  </authors>
  <commentList>
    <comment ref="A173" authorId="0" shapeId="0" xr:uid="{253C0BAD-141D-4879-BF84-E626F414D95D}">
      <text>
        <r>
          <rPr>
            <b/>
            <sz val="9"/>
            <color indexed="81"/>
            <rFont val="Tahoma"/>
            <family val="2"/>
          </rPr>
          <t>Halina: ON HOLD</t>
        </r>
        <r>
          <rPr>
            <sz val="9"/>
            <color indexed="81"/>
            <rFont val="Tahoma"/>
            <family val="2"/>
          </rPr>
          <t xml:space="preserve">
</t>
        </r>
      </text>
    </comment>
    <comment ref="A174" authorId="0" shapeId="0" xr:uid="{219919E7-613D-44A0-8835-38A0F5ACE271}">
      <text>
        <r>
          <rPr>
            <b/>
            <sz val="9"/>
            <color indexed="81"/>
            <rFont val="Tahoma"/>
            <family val="2"/>
          </rPr>
          <t>Halina: ON HOLD</t>
        </r>
        <r>
          <rPr>
            <sz val="9"/>
            <color indexed="81"/>
            <rFont val="Tahoma"/>
            <family val="2"/>
          </rPr>
          <t xml:space="preserve">
</t>
        </r>
      </text>
    </comment>
    <comment ref="A175" authorId="0" shapeId="0" xr:uid="{70E08983-3804-4552-B510-B40791FE3F34}">
      <text>
        <r>
          <rPr>
            <b/>
            <sz val="9"/>
            <color indexed="81"/>
            <rFont val="Tahoma"/>
            <family val="2"/>
          </rPr>
          <t>Halina: ON HOLD</t>
        </r>
        <r>
          <rPr>
            <sz val="9"/>
            <color indexed="81"/>
            <rFont val="Tahoma"/>
            <family val="2"/>
          </rPr>
          <t xml:space="preserve">
</t>
        </r>
      </text>
    </comment>
    <comment ref="A176" authorId="0" shapeId="0" xr:uid="{93522E64-3F17-4C46-9062-D707F1C10532}">
      <text>
        <r>
          <rPr>
            <b/>
            <sz val="9"/>
            <color indexed="81"/>
            <rFont val="Tahoma"/>
            <family val="2"/>
          </rPr>
          <t>Halina: ON HOLD</t>
        </r>
        <r>
          <rPr>
            <sz val="9"/>
            <color indexed="81"/>
            <rFont val="Tahoma"/>
            <family val="2"/>
          </rPr>
          <t xml:space="preserve">
</t>
        </r>
      </text>
    </comment>
    <comment ref="A177" authorId="0" shapeId="0" xr:uid="{98C8FBDA-8D7A-459A-9EB1-991402E20E27}">
      <text>
        <r>
          <rPr>
            <b/>
            <sz val="9"/>
            <color indexed="81"/>
            <rFont val="Tahoma"/>
            <family val="2"/>
          </rPr>
          <t>Halina: ON HOLD</t>
        </r>
        <r>
          <rPr>
            <sz val="9"/>
            <color indexed="81"/>
            <rFont val="Tahoma"/>
            <family val="2"/>
          </rPr>
          <t xml:space="preserve">
</t>
        </r>
      </text>
    </comment>
    <comment ref="A178" authorId="0" shapeId="0" xr:uid="{8917489D-27EB-4E7D-8DA0-3BFA745A3F18}">
      <text>
        <r>
          <rPr>
            <b/>
            <sz val="9"/>
            <color indexed="81"/>
            <rFont val="Tahoma"/>
            <family val="2"/>
          </rPr>
          <t>Halina: ON HOLD</t>
        </r>
        <r>
          <rPr>
            <sz val="9"/>
            <color indexed="81"/>
            <rFont val="Tahoma"/>
            <family val="2"/>
          </rPr>
          <t xml:space="preserve">
</t>
        </r>
      </text>
    </comment>
    <comment ref="A179" authorId="0" shapeId="0" xr:uid="{A34A58D7-0FEB-40C6-A588-E4EFDB737D24}">
      <text>
        <r>
          <rPr>
            <b/>
            <sz val="9"/>
            <color indexed="81"/>
            <rFont val="Tahoma"/>
            <family val="2"/>
          </rPr>
          <t>Halina: ON HOLD</t>
        </r>
        <r>
          <rPr>
            <sz val="9"/>
            <color indexed="81"/>
            <rFont val="Tahoma"/>
            <family val="2"/>
          </rPr>
          <t xml:space="preserve">
</t>
        </r>
      </text>
    </comment>
    <comment ref="A180" authorId="0" shapeId="0" xr:uid="{765EAD7B-8D79-4D35-B43F-012801CFE68B}">
      <text>
        <r>
          <rPr>
            <b/>
            <sz val="9"/>
            <color indexed="81"/>
            <rFont val="Tahoma"/>
            <family val="2"/>
          </rPr>
          <t>Halina: ON HOLD</t>
        </r>
        <r>
          <rPr>
            <sz val="9"/>
            <color indexed="81"/>
            <rFont val="Tahoma"/>
            <family val="2"/>
          </rPr>
          <t xml:space="preserve">
</t>
        </r>
      </text>
    </comment>
    <comment ref="A181" authorId="0" shapeId="0" xr:uid="{A0EFDC54-2740-41F0-AF84-4000A556C33E}">
      <text>
        <r>
          <rPr>
            <b/>
            <sz val="9"/>
            <color indexed="81"/>
            <rFont val="Tahoma"/>
            <family val="2"/>
          </rPr>
          <t>Halina: ON HOLD</t>
        </r>
        <r>
          <rPr>
            <sz val="9"/>
            <color indexed="81"/>
            <rFont val="Tahoma"/>
            <family val="2"/>
          </rPr>
          <t xml:space="preserve">
</t>
        </r>
      </text>
    </comment>
    <comment ref="A182" authorId="0" shapeId="0" xr:uid="{9BE53561-6F6A-4A70-A955-CA82EE7BE023}">
      <text>
        <r>
          <rPr>
            <b/>
            <sz val="9"/>
            <color indexed="81"/>
            <rFont val="Tahoma"/>
            <family val="2"/>
          </rPr>
          <t>Halina: ON HOLD</t>
        </r>
        <r>
          <rPr>
            <sz val="9"/>
            <color indexed="81"/>
            <rFont val="Tahoma"/>
            <family val="2"/>
          </rPr>
          <t xml:space="preserve">
</t>
        </r>
      </text>
    </comment>
    <comment ref="A183" authorId="0" shapeId="0" xr:uid="{78292335-BB9C-4E29-9520-B0BFA4B26C16}">
      <text>
        <r>
          <rPr>
            <b/>
            <sz val="9"/>
            <color indexed="81"/>
            <rFont val="Tahoma"/>
            <family val="2"/>
          </rPr>
          <t>Halina: ON HOLD</t>
        </r>
        <r>
          <rPr>
            <sz val="9"/>
            <color indexed="81"/>
            <rFont val="Tahoma"/>
            <family val="2"/>
          </rPr>
          <t xml:space="preserve">
</t>
        </r>
      </text>
    </comment>
    <comment ref="A184" authorId="0" shapeId="0" xr:uid="{1444327B-3389-4189-AFE4-F5E9A4ED080E}">
      <text>
        <r>
          <rPr>
            <b/>
            <sz val="9"/>
            <color indexed="81"/>
            <rFont val="Tahoma"/>
            <family val="2"/>
          </rPr>
          <t>Halina: ON HOLD</t>
        </r>
        <r>
          <rPr>
            <sz val="9"/>
            <color indexed="81"/>
            <rFont val="Tahoma"/>
            <family val="2"/>
          </rPr>
          <t xml:space="preserve">
</t>
        </r>
      </text>
    </comment>
    <comment ref="C197" authorId="0" shapeId="0" xr:uid="{E940B53F-2F22-4B61-8436-08BC3C7EEDE9}">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198" authorId="0" shapeId="0" xr:uid="{7274B4E1-E546-4C3F-9961-704BBED97603}">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199" authorId="0" shapeId="0" xr:uid="{1F34418C-0B79-413A-914D-994ECD14C715}">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200" authorId="0" shapeId="0" xr:uid="{75F37C25-3A3E-4A2E-ACE2-2B2444F95B2A}">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201" authorId="0" shapeId="0" xr:uid="{E94C4F3C-305A-40DC-8022-9797BB7D9E58}">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202" authorId="0" shapeId="0" xr:uid="{415B7E5E-4FA4-43AB-A5B1-50B974218741}">
      <text>
        <r>
          <rPr>
            <b/>
            <sz val="9"/>
            <color indexed="81"/>
            <rFont val="Tahoma"/>
            <family val="2"/>
          </rPr>
          <t>Halina: CANCER TREATMENT CENTERS OF AMERICA
aka Western Regional Medical Center aka City of Hope</t>
        </r>
        <r>
          <rPr>
            <sz val="9"/>
            <color indexed="81"/>
            <rFont val="Tahoma"/>
            <family val="2"/>
          </rPr>
          <t xml:space="preserve">
</t>
        </r>
      </text>
    </comment>
    <comment ref="C203" authorId="0" shapeId="0" xr:uid="{DC1228D3-15F2-48BA-AE1C-70B314148F3F}">
      <text>
        <r>
          <rPr>
            <b/>
            <sz val="9"/>
            <color indexed="81"/>
            <rFont val="Tahoma"/>
            <family val="2"/>
          </rPr>
          <t>Halina: CANCER TREATMENT CENTERS OF AMERICA
aka Western Regional Medical Center aka City of Hope</t>
        </r>
        <r>
          <rPr>
            <sz val="9"/>
            <color indexed="81"/>
            <rFont val="Tahoma"/>
            <family val="2"/>
          </rPr>
          <t xml:space="preserve">
</t>
        </r>
      </text>
    </comment>
    <comment ref="D304" authorId="0" shapeId="0" xr:uid="{575B6111-85F1-4198-B92A-E086C821BC49}">
      <text>
        <r>
          <rPr>
            <b/>
            <sz val="9"/>
            <color indexed="81"/>
            <rFont val="Tahoma"/>
            <family val="2"/>
          </rPr>
          <t>Halina:  different row than on most tabs</t>
        </r>
        <r>
          <rPr>
            <sz val="9"/>
            <color indexed="81"/>
            <rFont val="Tahoma"/>
            <family val="2"/>
          </rPr>
          <t xml:space="preserve">
</t>
        </r>
      </text>
    </comment>
    <comment ref="D305" authorId="0" shapeId="0" xr:uid="{FCE7DA27-4708-4433-B03A-67E94752328F}">
      <text>
        <r>
          <rPr>
            <b/>
            <sz val="9"/>
            <color indexed="81"/>
            <rFont val="Tahoma"/>
            <family val="2"/>
          </rPr>
          <t>Halina:  different row than on most tabs</t>
        </r>
        <r>
          <rPr>
            <sz val="9"/>
            <color indexed="81"/>
            <rFont val="Tahoma"/>
            <family val="2"/>
          </rPr>
          <t xml:space="preserve">
</t>
        </r>
      </text>
    </comment>
    <comment ref="D306" authorId="0" shapeId="0" xr:uid="{6F5F4E9A-435D-40D3-AA8B-0089E598E555}">
      <text>
        <r>
          <rPr>
            <b/>
            <sz val="9"/>
            <color indexed="81"/>
            <rFont val="Tahoma"/>
            <family val="2"/>
          </rPr>
          <t>Halina:  different row than on most tabs</t>
        </r>
        <r>
          <rPr>
            <sz val="9"/>
            <color indexed="81"/>
            <rFont val="Tahoma"/>
            <family val="2"/>
          </rPr>
          <t xml:space="preserve">
</t>
        </r>
      </text>
    </comment>
    <comment ref="D307" authorId="0" shapeId="0" xr:uid="{244E4687-844F-44AA-AC07-28668D3B750C}">
      <text>
        <r>
          <rPr>
            <b/>
            <sz val="9"/>
            <color indexed="81"/>
            <rFont val="Tahoma"/>
            <family val="2"/>
          </rPr>
          <t>Halina:  different row than on most tabs</t>
        </r>
        <r>
          <rPr>
            <sz val="9"/>
            <color indexed="81"/>
            <rFont val="Tahoma"/>
            <family val="2"/>
          </rPr>
          <t xml:space="preserve">
</t>
        </r>
      </text>
    </comment>
    <comment ref="D308" authorId="0" shapeId="0" xr:uid="{71D21D93-E9DA-44F7-8B8C-D803BA5D23C9}">
      <text>
        <r>
          <rPr>
            <b/>
            <sz val="9"/>
            <color indexed="81"/>
            <rFont val="Tahoma"/>
            <family val="2"/>
          </rPr>
          <t>Halina:  different row than on most tabs</t>
        </r>
        <r>
          <rPr>
            <sz val="9"/>
            <color indexed="81"/>
            <rFont val="Tahoma"/>
            <family val="2"/>
          </rPr>
          <t xml:space="preserve">
</t>
        </r>
      </text>
    </comment>
    <comment ref="D309" authorId="0" shapeId="0" xr:uid="{EECFCD16-E90F-41FF-89E6-A17C6BBB37C7}">
      <text>
        <r>
          <rPr>
            <b/>
            <sz val="9"/>
            <color indexed="81"/>
            <rFont val="Tahoma"/>
            <family val="2"/>
          </rPr>
          <t>Halina:  different row than on most tabs</t>
        </r>
        <r>
          <rPr>
            <sz val="9"/>
            <color indexed="81"/>
            <rFont val="Tahoma"/>
            <family val="2"/>
          </rPr>
          <t xml:space="preserve">
</t>
        </r>
      </text>
    </comment>
    <comment ref="D310" authorId="0" shapeId="0" xr:uid="{D52336F0-0502-4552-BBAA-5E9B2DCDCCC7}">
      <text>
        <r>
          <rPr>
            <b/>
            <sz val="9"/>
            <color indexed="81"/>
            <rFont val="Tahoma"/>
            <family val="2"/>
          </rPr>
          <t>Halina:  different row than on most tabs</t>
        </r>
        <r>
          <rPr>
            <sz val="9"/>
            <color indexed="81"/>
            <rFont val="Tahoma"/>
            <family val="2"/>
          </rPr>
          <t xml:space="preserve">
</t>
        </r>
      </text>
    </comment>
    <comment ref="D311" authorId="0" shapeId="0" xr:uid="{E6512543-7EF9-4A54-9F2B-368E5495AC85}">
      <text>
        <r>
          <rPr>
            <b/>
            <sz val="9"/>
            <color indexed="81"/>
            <rFont val="Tahoma"/>
            <family val="2"/>
          </rPr>
          <t>Halina:  different row than on most tabs</t>
        </r>
        <r>
          <rPr>
            <sz val="9"/>
            <color indexed="81"/>
            <rFont val="Tahoma"/>
            <family val="2"/>
          </rPr>
          <t xml:space="preserve">
</t>
        </r>
      </text>
    </comment>
    <comment ref="D312" authorId="0" shapeId="0" xr:uid="{41D35F50-6D07-4591-8803-BD176B48BFAF}">
      <text>
        <r>
          <rPr>
            <b/>
            <sz val="9"/>
            <color indexed="81"/>
            <rFont val="Tahoma"/>
            <family val="2"/>
          </rPr>
          <t>Halina:  different row than on most tabs</t>
        </r>
        <r>
          <rPr>
            <sz val="9"/>
            <color indexed="81"/>
            <rFont val="Tahoma"/>
            <family val="2"/>
          </rPr>
          <t xml:space="preserve">
</t>
        </r>
      </text>
    </comment>
    <comment ref="D313" authorId="0" shapeId="0" xr:uid="{AE2BEEE8-5522-4706-978D-534E6D6F3DE3}">
      <text>
        <r>
          <rPr>
            <b/>
            <sz val="9"/>
            <color indexed="81"/>
            <rFont val="Tahoma"/>
            <family val="2"/>
          </rPr>
          <t>Halina:  different row than on most tabs</t>
        </r>
        <r>
          <rPr>
            <sz val="9"/>
            <color indexed="81"/>
            <rFont val="Tahoma"/>
            <family val="2"/>
          </rPr>
          <t xml:space="preserve">
</t>
        </r>
      </text>
    </comment>
    <comment ref="D314" authorId="0" shapeId="0" xr:uid="{FB57001F-2DDE-479D-9403-70BD9B333AA6}">
      <text>
        <r>
          <rPr>
            <b/>
            <sz val="9"/>
            <color indexed="81"/>
            <rFont val="Tahoma"/>
            <family val="2"/>
          </rPr>
          <t>Halina:  different row than on most tabs</t>
        </r>
        <r>
          <rPr>
            <sz val="9"/>
            <color indexed="81"/>
            <rFont val="Tahoma"/>
            <family val="2"/>
          </rPr>
          <t xml:space="preserve">
</t>
        </r>
      </text>
    </comment>
    <comment ref="D315" authorId="0" shapeId="0" xr:uid="{63BD903E-ED00-43F8-8EC7-0749414A7EF8}">
      <text>
        <r>
          <rPr>
            <b/>
            <sz val="9"/>
            <color indexed="81"/>
            <rFont val="Tahoma"/>
            <family val="2"/>
          </rPr>
          <t>Halina:  different row than on most tabs</t>
        </r>
        <r>
          <rPr>
            <sz val="9"/>
            <color indexed="81"/>
            <rFont val="Tahoma"/>
            <family val="2"/>
          </rPr>
          <t xml:space="preserve">
</t>
        </r>
      </text>
    </comment>
    <comment ref="D316" authorId="0" shapeId="0" xr:uid="{F31A85D1-65C7-468A-B568-E1BA802EF034}">
      <text>
        <r>
          <rPr>
            <b/>
            <sz val="9"/>
            <color indexed="81"/>
            <rFont val="Tahoma"/>
            <family val="2"/>
          </rPr>
          <t>Halina:  different row than on most tabs</t>
        </r>
        <r>
          <rPr>
            <sz val="9"/>
            <color indexed="81"/>
            <rFont val="Tahoma"/>
            <family val="2"/>
          </rPr>
          <t xml:space="preserve">
</t>
        </r>
      </text>
    </comment>
    <comment ref="D317" authorId="0" shapeId="0" xr:uid="{4B6A3896-318D-42FF-B451-6E0F7252094D}">
      <text>
        <r>
          <rPr>
            <b/>
            <sz val="9"/>
            <color indexed="81"/>
            <rFont val="Tahoma"/>
            <family val="2"/>
          </rPr>
          <t>Halina:  different row than on most tabs</t>
        </r>
        <r>
          <rPr>
            <sz val="9"/>
            <color indexed="81"/>
            <rFont val="Tahoma"/>
            <family val="2"/>
          </rPr>
          <t xml:space="preserve">
</t>
        </r>
      </text>
    </comment>
    <comment ref="D414" authorId="0" shapeId="0" xr:uid="{BFAE4647-0625-4D07-8D56-1E5A5B658B9E}">
      <text>
        <r>
          <rPr>
            <b/>
            <sz val="9"/>
            <color indexed="81"/>
            <rFont val="Tahoma"/>
            <family val="2"/>
          </rPr>
          <t>Halina:  different row than on most tabs</t>
        </r>
        <r>
          <rPr>
            <sz val="9"/>
            <color indexed="81"/>
            <rFont val="Tahoma"/>
            <family val="2"/>
          </rPr>
          <t xml:space="preserve">
</t>
        </r>
      </text>
    </comment>
    <comment ref="D415" authorId="0" shapeId="0" xr:uid="{7454FEB2-97DD-43E2-9A5C-20512162781D}">
      <text>
        <r>
          <rPr>
            <b/>
            <sz val="9"/>
            <color indexed="81"/>
            <rFont val="Tahoma"/>
            <family val="2"/>
          </rPr>
          <t>Halina:  different row than on most tabs</t>
        </r>
        <r>
          <rPr>
            <sz val="9"/>
            <color indexed="81"/>
            <rFont val="Tahoma"/>
            <family val="2"/>
          </rPr>
          <t xml:space="preserve">
</t>
        </r>
      </text>
    </comment>
    <comment ref="D416" authorId="0" shapeId="0" xr:uid="{1E38F0C2-A5FA-460E-B6FC-65A88A8DE004}">
      <text>
        <r>
          <rPr>
            <b/>
            <sz val="9"/>
            <color indexed="81"/>
            <rFont val="Tahoma"/>
            <family val="2"/>
          </rPr>
          <t>Halina:  different row than on most tabs</t>
        </r>
        <r>
          <rPr>
            <sz val="9"/>
            <color indexed="81"/>
            <rFont val="Tahoma"/>
            <family val="2"/>
          </rPr>
          <t xml:space="preserve">
</t>
        </r>
      </text>
    </comment>
    <comment ref="D417" authorId="0" shapeId="0" xr:uid="{77F88A61-FBD8-424E-94FC-238BFBE54095}">
      <text>
        <r>
          <rPr>
            <b/>
            <sz val="9"/>
            <color indexed="81"/>
            <rFont val="Tahoma"/>
            <family val="2"/>
          </rPr>
          <t>Halina:  different row than on most tabs</t>
        </r>
        <r>
          <rPr>
            <sz val="9"/>
            <color indexed="81"/>
            <rFont val="Tahoma"/>
            <family val="2"/>
          </rPr>
          <t xml:space="preserve">
</t>
        </r>
      </text>
    </comment>
    <comment ref="D418" authorId="0" shapeId="0" xr:uid="{A883A091-BF45-46CB-8817-D584416D9A54}">
      <text>
        <r>
          <rPr>
            <b/>
            <sz val="9"/>
            <color indexed="81"/>
            <rFont val="Tahoma"/>
            <family val="2"/>
          </rPr>
          <t>Halina:  different row than on most tabs</t>
        </r>
        <r>
          <rPr>
            <sz val="9"/>
            <color indexed="81"/>
            <rFont val="Tahoma"/>
            <family val="2"/>
          </rPr>
          <t xml:space="preserve">
</t>
        </r>
      </text>
    </comment>
    <comment ref="D419" authorId="0" shapeId="0" xr:uid="{6B250294-456A-432E-B8B3-64190F8E6215}">
      <text>
        <r>
          <rPr>
            <b/>
            <sz val="9"/>
            <color indexed="81"/>
            <rFont val="Tahoma"/>
            <family val="2"/>
          </rPr>
          <t>Halina:  different row than on most tabs</t>
        </r>
        <r>
          <rPr>
            <sz val="9"/>
            <color indexed="81"/>
            <rFont val="Tahoma"/>
            <family val="2"/>
          </rPr>
          <t xml:space="preserve">
</t>
        </r>
      </text>
    </comment>
    <comment ref="D469" authorId="0" shapeId="0" xr:uid="{C9EEEE9B-9BC6-4647-B3EF-541ABA13B6A5}">
      <text>
        <r>
          <rPr>
            <b/>
            <sz val="9"/>
            <color indexed="81"/>
            <rFont val="Tahoma"/>
            <family val="2"/>
          </rPr>
          <t>Halina:  different row than on most tabs</t>
        </r>
        <r>
          <rPr>
            <sz val="9"/>
            <color indexed="81"/>
            <rFont val="Tahoma"/>
            <family val="2"/>
          </rPr>
          <t xml:space="preserve">
</t>
        </r>
      </text>
    </comment>
    <comment ref="D470" authorId="0" shapeId="0" xr:uid="{86B6A858-5631-471F-BC49-92894461ADDF}">
      <text>
        <r>
          <rPr>
            <b/>
            <sz val="9"/>
            <color indexed="81"/>
            <rFont val="Tahoma"/>
            <family val="2"/>
          </rPr>
          <t>Halina:  different row than on most tabs</t>
        </r>
        <r>
          <rPr>
            <sz val="9"/>
            <color indexed="81"/>
            <rFont val="Tahoma"/>
            <family val="2"/>
          </rPr>
          <t xml:space="preserve">
</t>
        </r>
      </text>
    </comment>
    <comment ref="D471" authorId="0" shapeId="0" xr:uid="{F9C78EF2-2026-41E9-AAAB-898B8EE3CA3E}">
      <text>
        <r>
          <rPr>
            <b/>
            <sz val="9"/>
            <color indexed="81"/>
            <rFont val="Tahoma"/>
            <family val="2"/>
          </rPr>
          <t>Halina:  different row than on most tabs</t>
        </r>
        <r>
          <rPr>
            <sz val="9"/>
            <color indexed="81"/>
            <rFont val="Tahoma"/>
            <family val="2"/>
          </rPr>
          <t xml:space="preserve">
</t>
        </r>
      </text>
    </comment>
    <comment ref="D472" authorId="0" shapeId="0" xr:uid="{3E8CEBC5-8719-4EE7-9E44-6194E696CAA6}">
      <text>
        <r>
          <rPr>
            <b/>
            <sz val="9"/>
            <color indexed="81"/>
            <rFont val="Tahoma"/>
            <family val="2"/>
          </rPr>
          <t>Halina:  different row than on most tabs</t>
        </r>
        <r>
          <rPr>
            <sz val="9"/>
            <color indexed="81"/>
            <rFont val="Tahoma"/>
            <family val="2"/>
          </rPr>
          <t xml:space="preserve">
</t>
        </r>
      </text>
    </comment>
    <comment ref="D473" authorId="0" shapeId="0" xr:uid="{D2493C1D-B932-4858-9BD5-3BE90ECBDC09}">
      <text>
        <r>
          <rPr>
            <b/>
            <sz val="9"/>
            <color indexed="81"/>
            <rFont val="Tahoma"/>
            <family val="2"/>
          </rPr>
          <t>Halina:  different row than on most tabs</t>
        </r>
        <r>
          <rPr>
            <sz val="9"/>
            <color indexed="81"/>
            <rFont val="Tahoma"/>
            <family val="2"/>
          </rPr>
          <t xml:space="preserve">
</t>
        </r>
      </text>
    </comment>
    <comment ref="D474" authorId="0" shapeId="0" xr:uid="{9A03B15D-944C-4B8C-8348-127B45B1E631}">
      <text>
        <r>
          <rPr>
            <b/>
            <sz val="9"/>
            <color indexed="81"/>
            <rFont val="Tahoma"/>
            <family val="2"/>
          </rPr>
          <t>Halina:  different row than on most tabs</t>
        </r>
        <r>
          <rPr>
            <sz val="9"/>
            <color indexed="81"/>
            <rFont val="Tahoma"/>
            <family val="2"/>
          </rPr>
          <t xml:space="preserve">
</t>
        </r>
      </text>
    </comment>
    <comment ref="D475" authorId="0" shapeId="0" xr:uid="{20BC351C-C77E-422F-BF78-9C3B0047707E}">
      <text>
        <r>
          <rPr>
            <b/>
            <sz val="9"/>
            <color indexed="81"/>
            <rFont val="Tahoma"/>
            <family val="2"/>
          </rPr>
          <t>Halina:  different row than on most tabs</t>
        </r>
        <r>
          <rPr>
            <sz val="9"/>
            <color indexed="81"/>
            <rFont val="Tahoma"/>
            <family val="2"/>
          </rPr>
          <t xml:space="preserve">
</t>
        </r>
      </text>
    </comment>
    <comment ref="D476" authorId="0" shapeId="0" xr:uid="{0A026F2B-D8D6-4131-B66A-F52B75AA3288}">
      <text>
        <r>
          <rPr>
            <b/>
            <sz val="9"/>
            <color indexed="81"/>
            <rFont val="Tahoma"/>
            <family val="2"/>
          </rPr>
          <t>Halina:  different row than on most tabs</t>
        </r>
        <r>
          <rPr>
            <sz val="9"/>
            <color indexed="81"/>
            <rFont val="Tahoma"/>
            <family val="2"/>
          </rPr>
          <t xml:space="preserve">
</t>
        </r>
      </text>
    </comment>
    <comment ref="D477" authorId="0" shapeId="0" xr:uid="{106FA2DD-9EA9-4957-BE74-C5516C3E1874}">
      <text>
        <r>
          <rPr>
            <b/>
            <sz val="9"/>
            <color indexed="81"/>
            <rFont val="Tahoma"/>
            <family val="2"/>
          </rPr>
          <t>Halina:  different row than on most tabs</t>
        </r>
        <r>
          <rPr>
            <sz val="9"/>
            <color indexed="81"/>
            <rFont val="Tahoma"/>
            <family val="2"/>
          </rPr>
          <t xml:space="preserve">
</t>
        </r>
      </text>
    </comment>
    <comment ref="D478" authorId="0" shapeId="0" xr:uid="{FCCADC4E-6008-43BF-A6EA-DD3032B606B4}">
      <text>
        <r>
          <rPr>
            <b/>
            <sz val="9"/>
            <color indexed="81"/>
            <rFont val="Tahoma"/>
            <family val="2"/>
          </rPr>
          <t>Halina:  different row than on most tabs</t>
        </r>
        <r>
          <rPr>
            <sz val="9"/>
            <color indexed="81"/>
            <rFont val="Tahoma"/>
            <family val="2"/>
          </rPr>
          <t xml:space="preserve">
</t>
        </r>
      </text>
    </comment>
    <comment ref="D479" authorId="0" shapeId="0" xr:uid="{D700941A-BCAF-4849-9E9E-4D4D8D608577}">
      <text>
        <r>
          <rPr>
            <b/>
            <sz val="9"/>
            <color indexed="81"/>
            <rFont val="Tahoma"/>
            <family val="2"/>
          </rPr>
          <t>Halina:  different row than on most tabs</t>
        </r>
        <r>
          <rPr>
            <sz val="9"/>
            <color indexed="81"/>
            <rFont val="Tahoma"/>
            <family val="2"/>
          </rPr>
          <t xml:space="preserve">
</t>
        </r>
      </text>
    </comment>
    <comment ref="D480" authorId="0" shapeId="0" xr:uid="{ABC3ECC6-9FE5-4485-B4C7-5A1D40970F13}">
      <text>
        <r>
          <rPr>
            <b/>
            <sz val="9"/>
            <color indexed="81"/>
            <rFont val="Tahoma"/>
            <family val="2"/>
          </rPr>
          <t>Halina:  different row than on most tabs</t>
        </r>
        <r>
          <rPr>
            <sz val="9"/>
            <color indexed="81"/>
            <rFont val="Tahoma"/>
            <family val="2"/>
          </rPr>
          <t xml:space="preserve">
</t>
        </r>
      </text>
    </comment>
    <comment ref="D481" authorId="0" shapeId="0" xr:uid="{550E7672-0254-482E-86B4-9C943D0BE508}">
      <text>
        <r>
          <rPr>
            <b/>
            <sz val="9"/>
            <color indexed="81"/>
            <rFont val="Tahoma"/>
            <family val="2"/>
          </rPr>
          <t>Halina:  different row than on most tabs</t>
        </r>
        <r>
          <rPr>
            <sz val="9"/>
            <color indexed="81"/>
            <rFont val="Tahoma"/>
            <family val="2"/>
          </rPr>
          <t xml:space="preserve">
</t>
        </r>
      </text>
    </comment>
    <comment ref="D482" authorId="0" shapeId="0" xr:uid="{5AFB09EB-9269-4F01-878A-A61ABAE5ADAA}">
      <text>
        <r>
          <rPr>
            <b/>
            <sz val="9"/>
            <color indexed="81"/>
            <rFont val="Tahoma"/>
            <family val="2"/>
          </rPr>
          <t>Halina:  different row than on most tabs</t>
        </r>
        <r>
          <rPr>
            <sz val="9"/>
            <color indexed="81"/>
            <rFont val="Tahoma"/>
            <family val="2"/>
          </rPr>
          <t xml:space="preserve">
</t>
        </r>
      </text>
    </comment>
    <comment ref="D483" authorId="0" shapeId="0" xr:uid="{C30E05B6-7288-4200-A0F1-6CAC203E7750}">
      <text>
        <r>
          <rPr>
            <b/>
            <sz val="9"/>
            <color indexed="81"/>
            <rFont val="Tahoma"/>
            <family val="2"/>
          </rPr>
          <t>Halina:  different row than on most tabs</t>
        </r>
        <r>
          <rPr>
            <sz val="9"/>
            <color indexed="81"/>
            <rFont val="Tahoma"/>
            <family val="2"/>
          </rPr>
          <t xml:space="preserve">
</t>
        </r>
      </text>
    </comment>
    <comment ref="D484" authorId="0" shapeId="0" xr:uid="{8D1B3E7D-D244-4C63-B9A1-BC58EFF2226D}">
      <text>
        <r>
          <rPr>
            <b/>
            <sz val="9"/>
            <color indexed="81"/>
            <rFont val="Tahoma"/>
            <family val="2"/>
          </rPr>
          <t>Halina:  different row than on most tabs</t>
        </r>
        <r>
          <rPr>
            <sz val="9"/>
            <color indexed="81"/>
            <rFont val="Tahoma"/>
            <family val="2"/>
          </rPr>
          <t xml:space="preserve">
</t>
        </r>
      </text>
    </comment>
    <comment ref="D485" authorId="0" shapeId="0" xr:uid="{EBA1A6F4-24AB-4CBD-B002-59229CDC2B66}">
      <text>
        <r>
          <rPr>
            <b/>
            <sz val="9"/>
            <color indexed="81"/>
            <rFont val="Tahoma"/>
            <family val="2"/>
          </rPr>
          <t>Halina:  different row than on most tabs</t>
        </r>
        <r>
          <rPr>
            <sz val="9"/>
            <color indexed="81"/>
            <rFont val="Tahoma"/>
            <family val="2"/>
          </rPr>
          <t xml:space="preserve">
</t>
        </r>
      </text>
    </comment>
    <comment ref="D486" authorId="0" shapeId="0" xr:uid="{4D28380C-950A-43F1-928C-74DE7A902EA8}">
      <text>
        <r>
          <rPr>
            <b/>
            <sz val="9"/>
            <color indexed="81"/>
            <rFont val="Tahoma"/>
            <family val="2"/>
          </rPr>
          <t>Halina:  different row than on most tabs</t>
        </r>
        <r>
          <rPr>
            <sz val="9"/>
            <color indexed="81"/>
            <rFont val="Tahoma"/>
            <family val="2"/>
          </rPr>
          <t xml:space="preserve">
</t>
        </r>
      </text>
    </comment>
    <comment ref="D487" authorId="0" shapeId="0" xr:uid="{96E689C0-FE90-4233-B8D8-2FBF3E71D3B6}">
      <text>
        <r>
          <rPr>
            <b/>
            <sz val="9"/>
            <color indexed="81"/>
            <rFont val="Tahoma"/>
            <family val="2"/>
          </rPr>
          <t>Halina:  different row than on most tabs</t>
        </r>
        <r>
          <rPr>
            <sz val="9"/>
            <color indexed="81"/>
            <rFont val="Tahoma"/>
            <family val="2"/>
          </rPr>
          <t xml:space="preserve">
</t>
        </r>
      </text>
    </comment>
    <comment ref="D488" authorId="0" shapeId="0" xr:uid="{E7C8A305-AB86-4F3E-8B65-E591623EA911}">
      <text>
        <r>
          <rPr>
            <b/>
            <sz val="9"/>
            <color indexed="81"/>
            <rFont val="Tahoma"/>
            <family val="2"/>
          </rPr>
          <t>Halina:  different row than on most tabs</t>
        </r>
        <r>
          <rPr>
            <sz val="9"/>
            <color indexed="81"/>
            <rFont val="Tahoma"/>
            <family val="2"/>
          </rPr>
          <t xml:space="preserve">
</t>
        </r>
      </text>
    </comment>
    <comment ref="D489" authorId="0" shapeId="0" xr:uid="{9D677CDC-34B3-4AF8-9C23-8521A52DE703}">
      <text>
        <r>
          <rPr>
            <b/>
            <sz val="9"/>
            <color indexed="81"/>
            <rFont val="Tahoma"/>
            <family val="2"/>
          </rPr>
          <t>Halina:  different row than on most tabs</t>
        </r>
        <r>
          <rPr>
            <sz val="9"/>
            <color indexed="81"/>
            <rFont val="Tahoma"/>
            <family val="2"/>
          </rPr>
          <t xml:space="preserve">
</t>
        </r>
      </text>
    </comment>
    <comment ref="D490" authorId="0" shapeId="0" xr:uid="{69AB4F9E-1EC7-4BA8-9EF7-20EFDCF2C0A8}">
      <text>
        <r>
          <rPr>
            <b/>
            <sz val="9"/>
            <color indexed="81"/>
            <rFont val="Tahoma"/>
            <family val="2"/>
          </rPr>
          <t>Halina:  different row than on most tabs</t>
        </r>
        <r>
          <rPr>
            <sz val="9"/>
            <color indexed="81"/>
            <rFont val="Tahoma"/>
            <family val="2"/>
          </rPr>
          <t xml:space="preserve">
</t>
        </r>
      </text>
    </comment>
    <comment ref="D491" authorId="0" shapeId="0" xr:uid="{4A0D78EC-34CB-430C-B5E3-6024CD1A6363}">
      <text>
        <r>
          <rPr>
            <b/>
            <sz val="9"/>
            <color indexed="81"/>
            <rFont val="Tahoma"/>
            <family val="2"/>
          </rPr>
          <t>Halina:  different row than on most tabs</t>
        </r>
        <r>
          <rPr>
            <sz val="9"/>
            <color indexed="81"/>
            <rFont val="Tahoma"/>
            <family val="2"/>
          </rPr>
          <t xml:space="preserve">
</t>
        </r>
      </text>
    </comment>
    <comment ref="D492" authorId="0" shapeId="0" xr:uid="{A057928E-5251-4209-9D85-4DBA9E3EAF9A}">
      <text>
        <r>
          <rPr>
            <b/>
            <sz val="9"/>
            <color indexed="81"/>
            <rFont val="Tahoma"/>
            <family val="2"/>
          </rPr>
          <t>Halina:  different row than on most tabs</t>
        </r>
        <r>
          <rPr>
            <sz val="9"/>
            <color indexed="81"/>
            <rFont val="Tahoma"/>
            <family val="2"/>
          </rPr>
          <t xml:space="preserve">
</t>
        </r>
      </text>
    </comment>
    <comment ref="D493" authorId="0" shapeId="0" xr:uid="{4C3AA3CC-8BFC-4681-9743-34DA9D0E3E4F}">
      <text>
        <r>
          <rPr>
            <b/>
            <sz val="9"/>
            <color indexed="81"/>
            <rFont val="Tahoma"/>
            <family val="2"/>
          </rPr>
          <t>Halina:  different row than on most tabs</t>
        </r>
        <r>
          <rPr>
            <sz val="9"/>
            <color indexed="81"/>
            <rFont val="Tahoma"/>
            <family val="2"/>
          </rPr>
          <t xml:space="preserve">
</t>
        </r>
      </text>
    </comment>
    <comment ref="D494" authorId="0" shapeId="0" xr:uid="{9AAB76DC-4517-4D45-8CD4-F3545940558F}">
      <text>
        <r>
          <rPr>
            <b/>
            <sz val="9"/>
            <color indexed="81"/>
            <rFont val="Tahoma"/>
            <family val="2"/>
          </rPr>
          <t>Halina:  different row than on most tabs</t>
        </r>
        <r>
          <rPr>
            <sz val="9"/>
            <color indexed="81"/>
            <rFont val="Tahoma"/>
            <family val="2"/>
          </rPr>
          <t xml:space="preserve">
</t>
        </r>
      </text>
    </comment>
    <comment ref="D495" authorId="0" shapeId="0" xr:uid="{7C024E20-0D96-4C36-A2DD-F1EF4757BC4C}">
      <text>
        <r>
          <rPr>
            <b/>
            <sz val="9"/>
            <color indexed="81"/>
            <rFont val="Tahoma"/>
            <family val="2"/>
          </rPr>
          <t>Halina:  different row than on most tabs</t>
        </r>
        <r>
          <rPr>
            <sz val="9"/>
            <color indexed="81"/>
            <rFont val="Tahoma"/>
            <family val="2"/>
          </rPr>
          <t xml:space="preserve">
</t>
        </r>
      </text>
    </comment>
    <comment ref="D496" authorId="0" shapeId="0" xr:uid="{631DBE5A-F042-4C76-9F17-F7AD70AA5094}">
      <text>
        <r>
          <rPr>
            <b/>
            <sz val="9"/>
            <color indexed="81"/>
            <rFont val="Tahoma"/>
            <family val="2"/>
          </rPr>
          <t>Halina:  different row than on most tabs</t>
        </r>
        <r>
          <rPr>
            <sz val="9"/>
            <color indexed="81"/>
            <rFont val="Tahoma"/>
            <family val="2"/>
          </rPr>
          <t xml:space="preserve">
</t>
        </r>
      </text>
    </comment>
    <comment ref="D497" authorId="0" shapeId="0" xr:uid="{917535DD-6459-475E-B476-C4C999489195}">
      <text>
        <r>
          <rPr>
            <b/>
            <sz val="9"/>
            <color indexed="81"/>
            <rFont val="Tahoma"/>
            <family val="2"/>
          </rPr>
          <t>Halina:  different row than on most tabs</t>
        </r>
        <r>
          <rPr>
            <sz val="9"/>
            <color indexed="81"/>
            <rFont val="Tahoma"/>
            <family val="2"/>
          </rPr>
          <t xml:space="preserve">
</t>
        </r>
      </text>
    </comment>
    <comment ref="D498" authorId="0" shapeId="0" xr:uid="{D8AD7629-232C-450D-9458-6A18C99F69DB}">
      <text>
        <r>
          <rPr>
            <b/>
            <sz val="9"/>
            <color indexed="81"/>
            <rFont val="Tahoma"/>
            <family val="2"/>
          </rPr>
          <t>Halina:  different row than on most tabs</t>
        </r>
        <r>
          <rPr>
            <sz val="9"/>
            <color indexed="81"/>
            <rFont val="Tahoma"/>
            <family val="2"/>
          </rPr>
          <t xml:space="preserve">
</t>
        </r>
      </text>
    </comment>
    <comment ref="D499" authorId="0" shapeId="0" xr:uid="{66403F92-08FF-4363-82AD-61B3F0CD2501}">
      <text>
        <r>
          <rPr>
            <b/>
            <sz val="9"/>
            <color indexed="81"/>
            <rFont val="Tahoma"/>
            <family val="2"/>
          </rPr>
          <t>Halina:  different row than on most tabs</t>
        </r>
        <r>
          <rPr>
            <sz val="9"/>
            <color indexed="81"/>
            <rFont val="Tahoma"/>
            <family val="2"/>
          </rPr>
          <t xml:space="preserve">
</t>
        </r>
      </text>
    </comment>
    <comment ref="D500" authorId="0" shapeId="0" xr:uid="{59D093B8-F4B5-4B2C-9B69-6A653B5FEF01}">
      <text>
        <r>
          <rPr>
            <b/>
            <sz val="9"/>
            <color indexed="81"/>
            <rFont val="Tahoma"/>
            <family val="2"/>
          </rPr>
          <t>Halina:  different row than on most tabs</t>
        </r>
        <r>
          <rPr>
            <sz val="9"/>
            <color indexed="81"/>
            <rFont val="Tahoma"/>
            <family val="2"/>
          </rPr>
          <t xml:space="preserve">
</t>
        </r>
      </text>
    </comment>
    <comment ref="D501" authorId="0" shapeId="0" xr:uid="{95596206-58F2-48C3-8347-2EBDF235D5B7}">
      <text>
        <r>
          <rPr>
            <b/>
            <sz val="9"/>
            <color indexed="81"/>
            <rFont val="Tahoma"/>
            <family val="2"/>
          </rPr>
          <t>Halina:  different row than on most tabs</t>
        </r>
        <r>
          <rPr>
            <sz val="9"/>
            <color indexed="81"/>
            <rFont val="Tahoma"/>
            <family val="2"/>
          </rPr>
          <t xml:space="preserve">
</t>
        </r>
      </text>
    </comment>
    <comment ref="D502" authorId="0" shapeId="0" xr:uid="{B1296C73-1FC4-4FDD-8E6F-5734228F105E}">
      <text>
        <r>
          <rPr>
            <b/>
            <sz val="9"/>
            <color indexed="81"/>
            <rFont val="Tahoma"/>
            <family val="2"/>
          </rPr>
          <t>Halina:  different row than on most tabs</t>
        </r>
        <r>
          <rPr>
            <sz val="9"/>
            <color indexed="81"/>
            <rFont val="Tahoma"/>
            <family val="2"/>
          </rPr>
          <t xml:space="preserve">
</t>
        </r>
      </text>
    </comment>
    <comment ref="D503" authorId="0" shapeId="0" xr:uid="{EED1BFED-7A46-49CB-B652-A3EA721616B0}">
      <text>
        <r>
          <rPr>
            <b/>
            <sz val="9"/>
            <color indexed="81"/>
            <rFont val="Tahoma"/>
            <family val="2"/>
          </rPr>
          <t>Halina:  different row than on most tabs</t>
        </r>
        <r>
          <rPr>
            <sz val="9"/>
            <color indexed="81"/>
            <rFont val="Tahoma"/>
            <family val="2"/>
          </rPr>
          <t xml:space="preserve">
</t>
        </r>
      </text>
    </comment>
    <comment ref="D504" authorId="0" shapeId="0" xr:uid="{A755281D-7102-4E76-B570-556947FF1130}">
      <text>
        <r>
          <rPr>
            <b/>
            <sz val="9"/>
            <color indexed="81"/>
            <rFont val="Tahoma"/>
            <family val="2"/>
          </rPr>
          <t>Halina:  different row than on most tabs</t>
        </r>
        <r>
          <rPr>
            <sz val="9"/>
            <color indexed="81"/>
            <rFont val="Tahoma"/>
            <family val="2"/>
          </rPr>
          <t xml:space="preserve">
</t>
        </r>
      </text>
    </comment>
    <comment ref="D505" authorId="0" shapeId="0" xr:uid="{41F07016-707D-43D7-B911-209DE9D7837E}">
      <text>
        <r>
          <rPr>
            <b/>
            <sz val="9"/>
            <color indexed="81"/>
            <rFont val="Tahoma"/>
            <family val="2"/>
          </rPr>
          <t>Halina:  different row than on most tabs</t>
        </r>
        <r>
          <rPr>
            <sz val="9"/>
            <color indexed="81"/>
            <rFont val="Tahoma"/>
            <family val="2"/>
          </rPr>
          <t xml:space="preserve">
</t>
        </r>
      </text>
    </comment>
    <comment ref="A525" authorId="0" shapeId="0" xr:uid="{A9810F2C-0A95-4280-8D44-080EDFC399A8}">
      <text>
        <r>
          <rPr>
            <b/>
            <sz val="9"/>
            <color indexed="81"/>
            <rFont val="Tahoma"/>
            <family val="2"/>
          </rPr>
          <t>Halina:  was hidden, currently terminated but may be reinstated</t>
        </r>
        <r>
          <rPr>
            <sz val="9"/>
            <color indexed="81"/>
            <rFont val="Tahoma"/>
            <family val="2"/>
          </rPr>
          <t xml:space="preserve">
</t>
        </r>
      </text>
    </comment>
    <comment ref="A526" authorId="0" shapeId="0" xr:uid="{8E809FCD-8DCF-4D7D-9FC5-213B35EC0A1C}">
      <text>
        <r>
          <rPr>
            <b/>
            <sz val="9"/>
            <color indexed="81"/>
            <rFont val="Tahoma"/>
            <family val="2"/>
          </rPr>
          <t>Halina:  was hidden, currently terminated but may be reinstated</t>
        </r>
        <r>
          <rPr>
            <sz val="9"/>
            <color indexed="81"/>
            <rFont val="Tahoma"/>
            <family val="2"/>
          </rPr>
          <t xml:space="preserve">
</t>
        </r>
      </text>
    </comment>
    <comment ref="A527" authorId="0" shapeId="0" xr:uid="{559C2D1C-F0D7-4F54-82B3-9349B6BB9D12}">
      <text>
        <r>
          <rPr>
            <b/>
            <sz val="9"/>
            <color indexed="81"/>
            <rFont val="Tahoma"/>
            <family val="2"/>
          </rPr>
          <t>Halina:  was hidden, currently terminated but may be reinstated</t>
        </r>
        <r>
          <rPr>
            <sz val="9"/>
            <color indexed="81"/>
            <rFont val="Tahoma"/>
            <family val="2"/>
          </rPr>
          <t xml:space="preserve">
</t>
        </r>
      </text>
    </comment>
    <comment ref="A528" authorId="0" shapeId="0" xr:uid="{405E4623-0FC2-4F61-A877-88FA78E469D4}">
      <text>
        <r>
          <rPr>
            <b/>
            <sz val="9"/>
            <color indexed="81"/>
            <rFont val="Tahoma"/>
            <family val="2"/>
          </rPr>
          <t>Halina:  was hidden, currently terminated but may be reinstated</t>
        </r>
        <r>
          <rPr>
            <sz val="9"/>
            <color indexed="81"/>
            <rFont val="Tahoma"/>
            <family val="2"/>
          </rPr>
          <t xml:space="preserve">
</t>
        </r>
      </text>
    </comment>
    <comment ref="A529" authorId="0" shapeId="0" xr:uid="{6A260470-88B9-4684-A439-FC746A517D30}">
      <text>
        <r>
          <rPr>
            <b/>
            <sz val="9"/>
            <color indexed="81"/>
            <rFont val="Tahoma"/>
            <family val="2"/>
          </rPr>
          <t>Halina:  was hidden, currently terminated but may be reinstated</t>
        </r>
        <r>
          <rPr>
            <sz val="9"/>
            <color indexed="81"/>
            <rFont val="Tahoma"/>
            <family val="2"/>
          </rPr>
          <t xml:space="preserve">
</t>
        </r>
      </text>
    </comment>
    <comment ref="A530" authorId="0" shapeId="0" xr:uid="{8B7C13F3-0933-4F71-A2A2-2B80C79D2165}">
      <text>
        <r>
          <rPr>
            <b/>
            <sz val="9"/>
            <color indexed="81"/>
            <rFont val="Tahoma"/>
            <family val="2"/>
          </rPr>
          <t>Halina:  was hidden, currently terminated but may be reinstated</t>
        </r>
        <r>
          <rPr>
            <sz val="9"/>
            <color indexed="81"/>
            <rFont val="Tahoma"/>
            <family val="2"/>
          </rPr>
          <t xml:space="preserve">
</t>
        </r>
      </text>
    </comment>
    <comment ref="A531" authorId="0" shapeId="0" xr:uid="{0E5FA39F-534C-469F-A5C2-3799F6819593}">
      <text>
        <r>
          <rPr>
            <b/>
            <sz val="9"/>
            <color indexed="81"/>
            <rFont val="Tahoma"/>
            <family val="2"/>
          </rPr>
          <t>Halina:  was hidden, currently terminated but may be reinstated</t>
        </r>
        <r>
          <rPr>
            <sz val="9"/>
            <color indexed="81"/>
            <rFont val="Tahoma"/>
            <family val="2"/>
          </rPr>
          <t xml:space="preserve">
</t>
        </r>
      </text>
    </comment>
    <comment ref="A532" authorId="0" shapeId="0" xr:uid="{23040DF1-E2FD-4258-93EE-7CFA8D7FEAD4}">
      <text>
        <r>
          <rPr>
            <b/>
            <sz val="9"/>
            <color indexed="81"/>
            <rFont val="Tahoma"/>
            <family val="2"/>
          </rPr>
          <t>Halina:  was hidden, currently terminated but may be reinstated</t>
        </r>
        <r>
          <rPr>
            <sz val="9"/>
            <color indexed="81"/>
            <rFont val="Tahoma"/>
            <family val="2"/>
          </rPr>
          <t xml:space="preserve">
</t>
        </r>
      </text>
    </comment>
    <comment ref="A533" authorId="0" shapeId="0" xr:uid="{0D4E1DCC-708F-409C-8DBD-212C6F7A132C}">
      <text>
        <r>
          <rPr>
            <b/>
            <sz val="9"/>
            <color indexed="81"/>
            <rFont val="Tahoma"/>
            <family val="2"/>
          </rPr>
          <t>Halina:  was hidden, currently terminated but may be reinstated</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<sst xmlns="http://schemas.openxmlformats.org/spreadsheetml/2006/main" count="4297" uniqueCount="616">
  <si>
    <t>Transplant Rate Effective October 1, 2026 Index</t>
  </si>
  <si>
    <t>By Hospital, by Type</t>
  </si>
  <si>
    <t>Banner Health dba Banner Gateway Medical Center</t>
  </si>
  <si>
    <t>Adult Allogeneic Related Bone Marrow Transplant Contract (ALO)</t>
  </si>
  <si>
    <t>Adult Allogeneic Unrelated Bone Marrow Transplant Contract (ALU)</t>
  </si>
  <si>
    <t>Adult Autologous Bone Marrow Transplant Contract (AUT)</t>
  </si>
  <si>
    <t>Adult Haploid Hematopoietic Stem Cell Transplant Contract (HAP)</t>
  </si>
  <si>
    <t>Total Body Irradiation (TBI)</t>
  </si>
  <si>
    <t/>
  </si>
  <si>
    <t>Banner University Medical Center Phoenix</t>
  </si>
  <si>
    <t>Adult Cadaveric Liver Transplant Contract (LIV)</t>
  </si>
  <si>
    <t>Cadaveric Donor Kidney Transplant Contract (CKY)</t>
  </si>
  <si>
    <t>Heart Transplant Contract (HRT)</t>
  </si>
  <si>
    <t>Living Donor Kidney Transplant Contract (KDY)</t>
  </si>
  <si>
    <t>Pancreas After Kidney Transplant Contract (PAK)</t>
  </si>
  <si>
    <t>Simulataneous Kidney/Pancreas Transplant Contract (SPK)</t>
  </si>
  <si>
    <t>Simultaneous Cadaveric Liver/Kidney Transplant Contract (SLK)</t>
  </si>
  <si>
    <t xml:space="preserve">Banner University Medical Center Tucson Campus,LLC </t>
  </si>
  <si>
    <t>Pediatric Allogeneic Related Bone Marrow Transplant Contract (PAL)</t>
  </si>
  <si>
    <t>Pediatric Allogeneic Unrelated Bone Marrow Transplant Contract (PLU)</t>
  </si>
  <si>
    <t>Pediatric Autologous Bone Marrow Transplant Contract (PAU)</t>
  </si>
  <si>
    <t>Pediatric Haploid Hematopoietic Stem Cell Transplant Contract (PHA)</t>
  </si>
  <si>
    <t>Simultaneous Kidney-Pancreas Transplant Contract (SPK)</t>
  </si>
  <si>
    <t>Lucile Salter Packard Children's Hospital</t>
  </si>
  <si>
    <t>Multi-Visceral Cadaveric Donor (Intestine, Liver, Pancreas En Bloc)</t>
  </si>
  <si>
    <t>Pediatric And Young Adult Heart And Liver Transplant Contract (PLH)</t>
  </si>
  <si>
    <t>Pediatric Double Lung (PDL) Transplant Contract (Includes Single Lung) (PLS)</t>
  </si>
  <si>
    <t>Pediatric Heart And Lung Transplant Contract (PHL)</t>
  </si>
  <si>
    <t>Pediatric Heart Transplant (PHT)</t>
  </si>
  <si>
    <t>Pediatric Intestinal Transplant Contract (PCB)</t>
  </si>
  <si>
    <t>Pediatric Liver Transplant (PLL)</t>
  </si>
  <si>
    <t>Pediatric Liver Transplant (PLV)</t>
  </si>
  <si>
    <t>Mayo Clinic Hospital Scottsdale</t>
  </si>
  <si>
    <t>Adult Allogenic Unrelated Bone Marrow Transplant Contract (ALU)</t>
  </si>
  <si>
    <t>Pediatric Haploid Related Hematopoietic Stem Cell Transplant Contract (PHA)</t>
  </si>
  <si>
    <t>Simultaneous Kidney/Pancreas Transplant Contract (SPK)</t>
  </si>
  <si>
    <t xml:space="preserve">Phoenix Children's Hospital </t>
  </si>
  <si>
    <t>Defibrotide Drug Therapy For The Treatment Of Venous Occlusive Disease Contract (VOD)</t>
  </si>
  <si>
    <t>Pediatric Cadaveric Liver Transplant (PLV)</t>
  </si>
  <si>
    <t>Pediatric Kidney Cadaveric Donor Transplant Contract (PCK)</t>
  </si>
  <si>
    <t>Pediatric Kidney Living Donor Transplant Contract (PKY)</t>
  </si>
  <si>
    <t>Scottsdale Healthcare Shea dba Honor Health</t>
  </si>
  <si>
    <t>St. Joseph's Hospital And Medical Center</t>
  </si>
  <si>
    <t>Cadaveric Donor Kidney Transplant (CKY)</t>
  </si>
  <si>
    <t>Double Lung Transplant (DLL)</t>
  </si>
  <si>
    <t>Living Donor Kidney Transplant (KDY)</t>
  </si>
  <si>
    <t>Simultaneous Cadaveric Liver And Kidney Transplant Contract (SLK)</t>
  </si>
  <si>
    <t>Single Lung Transplant Contract (SLT)</t>
  </si>
  <si>
    <t>Stanford Hospital And Healthcare</t>
  </si>
  <si>
    <t>Adult Heart And Lung Transplant (HLT)</t>
  </si>
  <si>
    <t>Single Lung Transplant Contract (SLT) Or Double Lung Transplant (DLL)</t>
  </si>
  <si>
    <t>University Of California San Francisco Medical Center</t>
  </si>
  <si>
    <t>Allogeneic Unrelated Pediatric Bone Marrow Transplant Contract Scid Only (PLU)</t>
  </si>
  <si>
    <t>Pediatric Allogeneic Related Bone Marrow Transplant Contract Scid Only (PAL)</t>
  </si>
  <si>
    <t>Pediatric Autologous Bone Marrow Transplant Contract Scid Only (PAU)</t>
  </si>
  <si>
    <t>Western Regional Medical Center, Inc. dba City Of Hope Phoenix</t>
  </si>
  <si>
    <t>By Type, By Hospital:</t>
  </si>
  <si>
    <t>Banner University Medical Center Tucson Campus,LLC</t>
  </si>
  <si>
    <t>Phoenix Children's Hospital</t>
  </si>
  <si>
    <t>Banner University Medical Center Tucson Campus, LLC</t>
  </si>
  <si>
    <t>Pediatric Living Liver Transplant (PLL)</t>
  </si>
  <si>
    <t>10/1/25 - 9/30/26 = Contract Year (CY) 44</t>
  </si>
  <si>
    <t>Password: Mercy2025</t>
  </si>
  <si>
    <t>How to hide and unhide tabs from Tracy's team</t>
  </si>
  <si>
    <t>Annual Updates</t>
  </si>
  <si>
    <t>Updates during the year</t>
  </si>
  <si>
    <t>Go to Developer tab and select View Code</t>
  </si>
  <si>
    <t>Unhide the "RatesForLookup" tab</t>
  </si>
  <si>
    <t>Transplant team may have new contracts or revisions</t>
  </si>
  <si>
    <t xml:space="preserve">    This opens the Visual Basic screen</t>
  </si>
  <si>
    <t>Tracy should give us a contract tab which we will format</t>
  </si>
  <si>
    <t>Column O will become the 10/1/25 rates</t>
  </si>
  <si>
    <t xml:space="preserve">    and add into the RatesForLookup tab</t>
  </si>
  <si>
    <t>Column P will become the 10/1/26 rates</t>
  </si>
  <si>
    <r>
      <rPr>
        <u/>
        <sz val="12"/>
        <color rgb="FF000000"/>
        <rFont val="Calibri"/>
        <family val="2"/>
        <scheme val="minor"/>
      </rPr>
      <t>New contracts effective before 10/1</t>
    </r>
    <r>
      <rPr>
        <sz val="12"/>
        <color rgb="FF000000"/>
        <rFont val="Calibri"/>
        <family val="2"/>
        <scheme val="minor"/>
      </rPr>
      <t xml:space="preserve"> will not get the Inflation Factor -</t>
    </r>
  </si>
  <si>
    <t xml:space="preserve">   adjusted rate in column G until after 10/1, and maybe not till following</t>
  </si>
  <si>
    <t xml:space="preserve">     year depending on what was negotiated</t>
  </si>
  <si>
    <t>In Project window - Select the tab you want</t>
  </si>
  <si>
    <t xml:space="preserve">  Make sure the vlookup formulas on the new contract tab select for</t>
  </si>
  <si>
    <t xml:space="preserve">    column F, not column G.   Make a note in column Q about this so</t>
  </si>
  <si>
    <t xml:space="preserve"> </t>
  </si>
  <si>
    <t>Copy / paste values all the rates from column P into column O</t>
  </si>
  <si>
    <t xml:space="preserve">       that the the vlookup formulas are changed in the next updae</t>
  </si>
  <si>
    <t xml:space="preserve">      Make sure you paste values, not formulas</t>
  </si>
  <si>
    <r>
      <rPr>
        <u/>
        <sz val="12"/>
        <color rgb="FF000000"/>
        <rFont val="Calibri"/>
        <family val="2"/>
        <scheme val="minor"/>
      </rPr>
      <t xml:space="preserve">New contracts effective 10/1 or after </t>
    </r>
    <r>
      <rPr>
        <sz val="12"/>
        <color rgb="FF000000"/>
        <rFont val="Calibri"/>
        <family val="2"/>
        <scheme val="minor"/>
      </rPr>
      <t>will already account for the factor</t>
    </r>
  </si>
  <si>
    <t xml:space="preserve">    in the newly negotiated rates.  Enter these in column G</t>
  </si>
  <si>
    <t>Change the column names to the correct years</t>
  </si>
  <si>
    <t>Copy the new tab into this spreadsheet.  Keep original tab as backup</t>
  </si>
  <si>
    <t>QC that the rates in column P flow correctly to each contract tab</t>
  </si>
  <si>
    <t>Add column A and row 1 to the new tab and enter the reference values</t>
  </si>
  <si>
    <t>Update the effective dates on each contract tab</t>
  </si>
  <si>
    <t>Format the new tab before inserting it into the spreadsheet, as was</t>
  </si>
  <si>
    <t>In Properties window - choose the visibility you want</t>
  </si>
  <si>
    <t xml:space="preserve">In April ask Ruth for the Inflation Factors </t>
  </si>
  <si>
    <t xml:space="preserve">     done with the existing tabs</t>
  </si>
  <si>
    <t>2 - xlSheetVeryHidden - will hide tab from anyone who</t>
  </si>
  <si>
    <t>This year's file is here:</t>
  </si>
  <si>
    <t>You may have to rearrange a bit - eg: the days 11+/61+ term should</t>
  </si>
  <si>
    <t xml:space="preserve">      doesn't know Excel well</t>
  </si>
  <si>
    <t>SP_Global_HealthCare_Cost_Tables_Q1_2025.xlsx</t>
  </si>
  <si>
    <t xml:space="preserve">   have it's own row and reference number</t>
  </si>
  <si>
    <t>-1- xlSheetVisible - will unhide it</t>
  </si>
  <si>
    <t>Use tab "Tab61CY"</t>
  </si>
  <si>
    <t xml:space="preserve">Make sure the layout matches the existing contract tabs.  It's okay that </t>
  </si>
  <si>
    <t>Use Q1 over Q1 for the calculation</t>
  </si>
  <si>
    <t xml:space="preserve">   the new contract may have more or less terms than any existing one</t>
  </si>
  <si>
    <t>In cell A1 on the new tab, insert the formula that shows the tab name</t>
  </si>
  <si>
    <t xml:space="preserve">   '=MID(CELL("filename",A1),FIND("]",CELL("filename",A1))+1,255)</t>
  </si>
  <si>
    <t>Column F will become the 10/1/25 factor</t>
  </si>
  <si>
    <t>Column G will become the 10/1/26 factor</t>
  </si>
  <si>
    <t xml:space="preserve">   Make sure row 1, column A and all cells containing rates are locked</t>
  </si>
  <si>
    <t xml:space="preserve"> On the RatesForLookup tab insert new rows for as many contract terms</t>
  </si>
  <si>
    <t xml:space="preserve">    as exist on the new contract tab.  Insert them in the same alphabetical</t>
  </si>
  <si>
    <t xml:space="preserve">    that matches the tab location.</t>
  </si>
  <si>
    <t>Remember to save, and close the entire Visual Basic screen</t>
  </si>
  <si>
    <t>In column A, enter the formula that picks up the new tab name</t>
  </si>
  <si>
    <t>Copy the 10/1/25 factor into column F</t>
  </si>
  <si>
    <t xml:space="preserve">     and update the 10/1/26 factor with a dummy until the real one is published</t>
  </si>
  <si>
    <t>In column C, type in a short hospital name</t>
  </si>
  <si>
    <t>In columns H and I type in the row and column reference numbers</t>
  </si>
  <si>
    <t>QC that the rates in column P have updated correctly</t>
  </si>
  <si>
    <t>Copy  all other formulas from an existing row</t>
  </si>
  <si>
    <t xml:space="preserve">  Update the effective dates in red at top of each contract tab</t>
  </si>
  <si>
    <t>Create a named range for the new rows, from column H to column Q</t>
  </si>
  <si>
    <t xml:space="preserve">    It should be same as the tab name but without the year </t>
  </si>
  <si>
    <t>Format each tab in the QC'd spreadsheet before giving to Tracy Thomas:</t>
  </si>
  <si>
    <t xml:space="preserve">QC that the new tab is picking up the correct rates </t>
  </si>
  <si>
    <t xml:space="preserve">   Select all contract tabs</t>
  </si>
  <si>
    <t>Also make sure row 1, column A and all cells containing rates are locked</t>
  </si>
  <si>
    <t xml:space="preserve">   Hide row 1 and column A</t>
  </si>
  <si>
    <t xml:space="preserve">   Protect each contract tab - unfortunately, must do this one tab at a time</t>
  </si>
  <si>
    <r>
      <rPr>
        <sz val="12"/>
        <rFont val="Calibri"/>
        <family val="2"/>
        <scheme val="minor"/>
      </rPr>
      <t xml:space="preserve">Protect each contract tab - </t>
    </r>
    <r>
      <rPr>
        <b/>
        <sz val="12"/>
        <color rgb="FF0000FF"/>
        <rFont val="Calibri"/>
        <family val="2"/>
        <scheme val="minor"/>
      </rPr>
      <t>Password: Mercy2025</t>
    </r>
  </si>
  <si>
    <t xml:space="preserve">     unless you use a macro, which should be tried on a backup copy first</t>
  </si>
  <si>
    <t xml:space="preserve">      Allow these edits:</t>
  </si>
  <si>
    <t>Move the new tab alphabetically within the spreadsheet</t>
  </si>
  <si>
    <t>If new contract has a TPD rate (per diem days 61+) do an RTRU</t>
  </si>
  <si>
    <t xml:space="preserve">   Password: Mercy2025</t>
  </si>
  <si>
    <t xml:space="preserve">   Hide all tabs except the currently in effect contracts</t>
  </si>
  <si>
    <t>Change all the tab names to the new year</t>
  </si>
  <si>
    <t xml:space="preserve">When the rates are final - </t>
  </si>
  <si>
    <t>Remember to do an RTRU for the TPD rates (per diem days 61+)</t>
  </si>
  <si>
    <t>Step</t>
  </si>
  <si>
    <t>Start with this file:</t>
  </si>
  <si>
    <t>Transplant Rates effective December 1st, 2024</t>
  </si>
  <si>
    <t>These tabs are hidden, because contracts may be reinstated</t>
  </si>
  <si>
    <t>Macro to create a list of tab names</t>
  </si>
  <si>
    <t>Then</t>
  </si>
  <si>
    <t>Delete discontinued contract tabs:</t>
  </si>
  <si>
    <t>Sub ListSheetNamesInNewWorkbook()</t>
  </si>
  <si>
    <t>Press F5</t>
  </si>
  <si>
    <t xml:space="preserve">        Banner Tucson Adult Liver Transplant Program is on hold as of 12/5/24 - pending deletion   2024_BUMCT_CAD_LIVER</t>
  </si>
  <si>
    <t xml:space="preserve">    Dim objNewWorkbook As Workbook</t>
  </si>
  <si>
    <t>New spreadsheet opens with list</t>
  </si>
  <si>
    <t xml:space="preserve">        Banner Tucson dual organ liver/kidney  is also on hold during above - pending deletion   2024_BUMCT_SIMUL_CAD_LIV_KDY</t>
  </si>
  <si>
    <t xml:space="preserve">    Dim objNewWorksheet As Worksheet</t>
  </si>
  <si>
    <t xml:space="preserve">        Banner Tucson Adult Heart and Adult Heart/Lung</t>
  </si>
  <si>
    <t xml:space="preserve">        PCH Peds Living Liver is on hold, may be reinstated - pending deletion</t>
  </si>
  <si>
    <t>Break all links</t>
  </si>
  <si>
    <t xml:space="preserve">    Set objNewWorkbook = Excel.Application.Workbooks.Add</t>
  </si>
  <si>
    <t>Select all sheets, unhide rows and columns</t>
  </si>
  <si>
    <t xml:space="preserve">    Set objNewWorksheet = objNewWorkbook.Sheets(1)</t>
  </si>
  <si>
    <t>Insert new row 1 at top and a new row A on the left</t>
  </si>
  <si>
    <t>In cell A1, enter the formula that looks up the tab name - this will automatically update if someone changes the tab name</t>
  </si>
  <si>
    <t xml:space="preserve">    For i = 1 To ThisWorkbook.Sheets.Count</t>
  </si>
  <si>
    <t>=MID(CELL("filename",A1),FIND("]",CELL("filename",A1))+1,255)</t>
  </si>
  <si>
    <t>or</t>
  </si>
  <si>
    <t>=TEXTAFTER(CELL("filename",A1),"]")</t>
  </si>
  <si>
    <t xml:space="preserve">        This cell will be locked on all tabs and the row will be hidden</t>
  </si>
  <si>
    <t xml:space="preserve">        objNewWorksheet.Cells(i, 1) = i</t>
  </si>
  <si>
    <t>Insert new tab "RatesIn" - this pulls in the current rates</t>
  </si>
  <si>
    <t xml:space="preserve">        objNewWorksheet.Cells(i, 2) = ThisWorkbook.Sheets(i).Name</t>
  </si>
  <si>
    <t xml:space="preserve">         This tab will be Very Hidden via the Developer - Visual Basic feature (very easy)</t>
  </si>
  <si>
    <t xml:space="preserve">    Next i</t>
  </si>
  <si>
    <t>On this new tab create links to all the cell A1's to make a list of tab names that will automatically update if someone changes the tab name.</t>
  </si>
  <si>
    <t xml:space="preserve">      (I think using a formula or macro to do this would be a circular reference error)</t>
  </si>
  <si>
    <t xml:space="preserve">    With objNewWorksheet</t>
  </si>
  <si>
    <r>
      <t>Double-check that all tabs have been linked by running the macro on the</t>
    </r>
    <r>
      <rPr>
        <u/>
        <sz val="12"/>
        <color rgb="FF000000"/>
        <rFont val="Calibri"/>
        <family val="2"/>
        <scheme val="minor"/>
      </rPr>
      <t xml:space="preserve"> original</t>
    </r>
    <r>
      <rPr>
        <sz val="12"/>
        <color rgb="FF000000"/>
        <rFont val="Calibri"/>
        <family val="2"/>
        <scheme val="minor"/>
      </rPr>
      <t xml:space="preserve"> Dec 1st spreadsheet and comparing the counts of tab names</t>
    </r>
  </si>
  <si>
    <t xml:space="preserve">         .Rows(1).Insert</t>
  </si>
  <si>
    <t xml:space="preserve">         .Cells(1, 1) = "INDEX"</t>
  </si>
  <si>
    <t>You can't just reuse this linked formula to get the hospital name and contract type, because sometimes they are merged in starting in column A , sometimes in B</t>
  </si>
  <si>
    <t xml:space="preserve">         .Cells(1, 1).Font.Bold = True</t>
  </si>
  <si>
    <t xml:space="preserve">         same for row 4 Effective Date and row 5 Facility ID</t>
  </si>
  <si>
    <t>Also some are in different rows!</t>
  </si>
  <si>
    <t>Fix column:</t>
  </si>
  <si>
    <t xml:space="preserve">         .Cells(1, 2) = "NAME"</t>
  </si>
  <si>
    <t xml:space="preserve">        Fix this so that every tab is identical - there are a lot more in A than in B so change the Bs</t>
  </si>
  <si>
    <t>2024_BannerMD_BMT_ALLO_RELA</t>
  </si>
  <si>
    <t xml:space="preserve">         .Cells(1, 2).Font.Bold = True</t>
  </si>
  <si>
    <r>
      <rPr>
        <b/>
        <sz val="12"/>
        <color rgb="FF000000"/>
        <rFont val="Calibri"/>
        <family val="2"/>
        <scheme val="minor"/>
      </rPr>
      <t xml:space="preserve">Can't fix these rows: </t>
    </r>
    <r>
      <rPr>
        <sz val="12"/>
        <color rgb="FF000000"/>
        <rFont val="Calibri"/>
        <family val="2"/>
        <scheme val="minor"/>
      </rPr>
      <t>they have extra row of description</t>
    </r>
  </si>
  <si>
    <t>2024_BannerMD_BMT_ALLO_UNREL</t>
  </si>
  <si>
    <t xml:space="preserve">         .Columns("A:B").AutoFit</t>
  </si>
  <si>
    <t>2024 LPCH -Living_Liver</t>
  </si>
  <si>
    <t>2024_BUMCP_KIDNEY CADAVERIC</t>
  </si>
  <si>
    <t xml:space="preserve">    End With</t>
  </si>
  <si>
    <t>2024 LPCH -CAD_Liver</t>
  </si>
  <si>
    <t>2024_BUMCP_KIDNEY_LIVING</t>
  </si>
  <si>
    <t>End Sub</t>
  </si>
  <si>
    <t>2024_LPCH Multivis CadDonor</t>
  </si>
  <si>
    <t>2024_BUMCP_PANCREA_AFTER_KDY</t>
  </si>
  <si>
    <t>2024_LPCH-IntestineCadDonor</t>
  </si>
  <si>
    <t>2024_BUMCP_SIM_KIDNEY-PANCR</t>
  </si>
  <si>
    <t>2024_MAYO_SIMU_CADV LIV KDY</t>
  </si>
  <si>
    <t>2024_BUMCT_ALLO_RELA_PEDS</t>
  </si>
  <si>
    <t>2024_PCH_BMT_AUT_ADULT</t>
  </si>
  <si>
    <t>2024_BUMCT_ALLO_UNRE_PEDS</t>
  </si>
  <si>
    <t xml:space="preserve">2024_PCH_BMT_ADULT ALLO_REL </t>
  </si>
  <si>
    <t>2024 LPCH-BMT AUT PEDS</t>
  </si>
  <si>
    <t>2024_PCH_ADULT_HAPLOID</t>
  </si>
  <si>
    <t>2024 LPCH-ALLO RELA PEDS</t>
  </si>
  <si>
    <t>2024_PCH_ADULT_ALLO_UNREL</t>
  </si>
  <si>
    <t>2024 LPCH ALLO UNREL PEDS</t>
  </si>
  <si>
    <t>2025_PCH_PED_LIVING_LIVER</t>
  </si>
  <si>
    <t>Many tabs = someone put formulas in the effective date rows, which no longer work.</t>
  </si>
  <si>
    <t xml:space="preserve">       I hardcoded them all to match the December spreadsheet dates</t>
  </si>
  <si>
    <t>Corrected the spacing in several ID# rows to match the majority.  Need a way for people to enter the data in correct format</t>
  </si>
  <si>
    <t>Moved the three letter contract type from middle of title to the end:</t>
  </si>
  <si>
    <t>Got rid of spaces in tab names to prevent problems in formulas</t>
  </si>
  <si>
    <t>Add days 11-61+ outlier as a separate cell on all tabs where it appears in the language and move to row below the Days 11-61 per diem</t>
  </si>
  <si>
    <t>For Mayo and PCH, also added separate cells for 50% of charges over main outlier threshold</t>
  </si>
  <si>
    <t>Hide gridlines on several tabs</t>
  </si>
  <si>
    <t>Go back and change all the Total $ for components to Sum formulas</t>
  </si>
  <si>
    <t>Deleted all named PRINT ranges</t>
  </si>
  <si>
    <t>Now comes the fun part</t>
  </si>
  <si>
    <t>I do not want two columns of rates in each tab - that defeats the purpose of not having to hide/unhide columns</t>
  </si>
  <si>
    <t>1) Pull in the values from each contract tab into the RatesWithFormulas tab</t>
  </si>
  <si>
    <t>Unfortunately, I could not create a formula that referred to the tab name in column A of the Rates tab</t>
  </si>
  <si>
    <t xml:space="preserve">    Therefore, could not copy past a formula all the way down in the rates tab, had to do each tab name separately</t>
  </si>
  <si>
    <t xml:space="preserve">    However, if someone changes the tab name, the formulas will automatically update to the new name, so okay</t>
  </si>
  <si>
    <t>Make a copy of this tab, call it RatesForLookup, copy/paste values the current year (10/1/24) rates in column O</t>
  </si>
  <si>
    <t>2) In each tab, pull in the values for each component into each contract tab from the RatesForLookup tab</t>
  </si>
  <si>
    <t xml:space="preserve">   I could not come up with one formula that I could copy paste into every tab, which would look up both the</t>
  </si>
  <si>
    <t xml:space="preserve">          tab name in column A of rates sheet and then the rates in column P</t>
  </si>
  <si>
    <t xml:space="preserve">      Therefore, every tab must be done separately with a different formula for the vlookup range</t>
  </si>
  <si>
    <t>If rows must be added to the rates tab for new contracts, the formulas in existing tabs will update automatically</t>
  </si>
  <si>
    <r>
      <rPr>
        <b/>
        <sz val="12"/>
        <color rgb="FF000000"/>
        <rFont val="Calibri"/>
        <family val="2"/>
        <scheme val="minor"/>
      </rPr>
      <t>Define named ranges on the RatesForLookup tab</t>
    </r>
    <r>
      <rPr>
        <sz val="12"/>
        <color rgb="FF000000"/>
        <rFont val="Calibri"/>
        <family val="2"/>
        <scheme val="minor"/>
      </rPr>
      <t>, use the name of the corresponding tab without the year</t>
    </r>
  </si>
  <si>
    <t xml:space="preserve">    Range starts with the RowFlag column H          This will make QCing easier than looking at cell addresses</t>
  </si>
  <si>
    <t xml:space="preserve">Add tab for Updates &amp; QC </t>
  </si>
  <si>
    <t>this is the standard work</t>
  </si>
  <si>
    <r>
      <rPr>
        <b/>
        <sz val="12"/>
        <color rgb="FF000000"/>
        <rFont val="Calibri"/>
        <family val="2"/>
        <scheme val="minor"/>
      </rPr>
      <t>1/21/25:</t>
    </r>
    <r>
      <rPr>
        <sz val="12"/>
        <color rgb="FF000000"/>
        <rFont val="Calibri"/>
        <family val="2"/>
        <scheme val="minor"/>
      </rPr>
      <t xml:space="preserve">  Format - Unlocked every cell on every contract tab</t>
    </r>
  </si>
  <si>
    <t>Locked column A, row 1 and all rates cells on every tab</t>
  </si>
  <si>
    <t>Made copy for RATES TEAM</t>
  </si>
  <si>
    <t>In the copy for Transplant Team, protected every tab</t>
  </si>
  <si>
    <t xml:space="preserve">Changed all effective dates to </t>
  </si>
  <si>
    <t>EFFECTIVE 10/01/2025 THROUGH 9/30/2026</t>
  </si>
  <si>
    <t>Corrected 2024_PCH_PED_HAPLOID tab and the corresponding range on RatesForLookup tab</t>
  </si>
  <si>
    <t>Added note about 10/1/25 rates being dummied to all tabs</t>
  </si>
  <si>
    <r>
      <t xml:space="preserve">I did </t>
    </r>
    <r>
      <rPr>
        <strike/>
        <sz val="12"/>
        <color rgb="FF000000"/>
        <rFont val="Calibri"/>
        <family val="2"/>
        <scheme val="minor"/>
      </rPr>
      <t>NOT</t>
    </r>
    <r>
      <rPr>
        <sz val="12"/>
        <color rgb="FF000000"/>
        <rFont val="Calibri"/>
        <family val="2"/>
        <scheme val="minor"/>
      </rPr>
      <t xml:space="preserve"> change all tab names from 2024 to 2025</t>
    </r>
    <r>
      <rPr>
        <strike/>
        <sz val="12"/>
        <color rgb="FF000000"/>
        <rFont val="Calibri"/>
        <family val="2"/>
        <scheme val="minor"/>
      </rPr>
      <t>, Tracy can change them or get rid of the year entirely -</t>
    </r>
  </si>
  <si>
    <t xml:space="preserve">     the formulas will update automatically for changes to tab names</t>
  </si>
  <si>
    <r>
      <t>1/22/25:</t>
    </r>
    <r>
      <rPr>
        <sz val="12"/>
        <color rgb="FF000000"/>
        <rFont val="Calibri"/>
        <family val="2"/>
        <scheme val="minor"/>
      </rPr>
      <t xml:space="preserve">  revised</t>
    </r>
    <r>
      <rPr>
        <b/>
        <sz val="12"/>
        <color rgb="FF000000"/>
        <rFont val="Calibri"/>
        <family val="2"/>
        <scheme val="minor"/>
      </rPr>
      <t xml:space="preserve"> </t>
    </r>
    <r>
      <rPr>
        <sz val="12"/>
        <color rgb="FF000000"/>
        <rFont val="Calibri"/>
        <family val="2"/>
        <scheme val="minor"/>
      </rPr>
      <t xml:space="preserve"> Lucille Packard BMT AUT PEDS</t>
    </r>
    <r>
      <rPr>
        <b/>
        <sz val="12"/>
        <color rgb="FF000000"/>
        <rFont val="Calibri"/>
        <family val="2"/>
        <scheme val="minor"/>
      </rPr>
      <t xml:space="preserve"> </t>
    </r>
    <r>
      <rPr>
        <sz val="12"/>
        <color rgb="FF000000"/>
        <rFont val="Calibri"/>
        <family val="2"/>
        <scheme val="minor"/>
      </rPr>
      <t>- see emails</t>
    </r>
  </si>
  <si>
    <t xml:space="preserve">               and deleted that row from RatesForLookup</t>
  </si>
  <si>
    <t xml:space="preserve">4/21/25:  </t>
  </si>
  <si>
    <t>Changed all tab names from 2024 to 2025, also in TRANSPLANT TEAM matrix</t>
  </si>
  <si>
    <r>
      <rPr>
        <b/>
        <sz val="12"/>
        <color rgb="FF000000"/>
        <rFont val="Calibri"/>
        <family val="2"/>
        <scheme val="minor"/>
      </rPr>
      <t>4/21/25:</t>
    </r>
    <r>
      <rPr>
        <sz val="12"/>
        <color rgb="FF000000"/>
        <rFont val="Calibri"/>
        <family val="2"/>
        <scheme val="minor"/>
      </rPr>
      <t xml:space="preserve"> </t>
    </r>
  </si>
  <si>
    <t xml:space="preserve"> my error: I did this on my version, not on the version Tracy reviewed and sent back</t>
  </si>
  <si>
    <t xml:space="preserve">     Therefore I deleted it, and saved Tracy's reviewed version back named as:</t>
  </si>
  <si>
    <t xml:space="preserve">       TRANSPLANT TEAM Matrix 10.1.2025 Linked To New Rates_v2_As of 4.21.2025.xlsx</t>
  </si>
  <si>
    <t>4/21/25:</t>
  </si>
  <si>
    <t>Changed "Pass Through" to "NBMD or Cord blood Invoice Cost" and widened the rate columns</t>
  </si>
  <si>
    <t xml:space="preserve">for these contracts: </t>
  </si>
  <si>
    <t>This one already said "NBMD or Cord blood Invoice Costs" , changed to Cost</t>
  </si>
  <si>
    <r>
      <t>4/21/25:</t>
    </r>
    <r>
      <rPr>
        <sz val="12"/>
        <color rgb="FF000000"/>
        <rFont val="Calibri"/>
        <family val="2"/>
        <scheme val="minor"/>
      </rPr>
      <t xml:space="preserve"> Deleted from TRANPLANT TEAM version RatesForLookup tab the three contracts that Tracy had deleted their tabs</t>
    </r>
  </si>
  <si>
    <t xml:space="preserve">Then he wants me to add them back, didn't know how to hide them. </t>
  </si>
  <si>
    <t xml:space="preserve"> I put them back into the TRANSPLANT TEAM copy, at the very front, put back the formulas on their RatesForLookup tab</t>
  </si>
  <si>
    <t xml:space="preserve">       TRANSPLANT TEAM Matrix 10.1.2025 Linked To New Rates_v3_As of 4.21.2025.xlsx</t>
  </si>
  <si>
    <t>4/28/2025:  Updated inflation factor</t>
  </si>
  <si>
    <t>4/29/25:  What are these hidden tabs?</t>
  </si>
  <si>
    <t>I made all these tabs Very Hidden in TRANSPLANT TEAM copy</t>
  </si>
  <si>
    <t>On Hold, may be reinstated, was hidden 2024 matrix</t>
  </si>
  <si>
    <t>On Hold, may be reinstated</t>
  </si>
  <si>
    <t>was hidden 2024 matrix</t>
  </si>
  <si>
    <t>5/8/2025:  changed red font to black for the effective dates on every tab</t>
  </si>
  <si>
    <t>Also deleted the old 2022 tabs:</t>
  </si>
  <si>
    <t>2022_BUMCT_HEART</t>
  </si>
  <si>
    <t>2022_BUMCT_HEART-LUNG</t>
  </si>
  <si>
    <t>2022_BUMCT_VAD_CAD</t>
  </si>
  <si>
    <t>5/22/25 - BUMCT terminated their Single (SLT)  and Double Lung (DLL) Contracts effective 05/09/2025.</t>
  </si>
  <si>
    <t>Yellow out and add notes on the RatesforLookup tabs here and in our Transplant Team version</t>
  </si>
  <si>
    <t>Move the these two tabs in fromt of the other dc'd / on hold tabs here and in our Transplant Team version</t>
  </si>
  <si>
    <t xml:space="preserve">Hide these two tabs in the TRANSPLANT Team version </t>
  </si>
  <si>
    <t>Copy this updated change log into the TRANPSLANT Team version, and hide it</t>
  </si>
  <si>
    <t>Rename both versions "as of 5.22.2025"</t>
  </si>
  <si>
    <t>6/16/25 - Correct PCH Pediatric Haploid (PHA) formula for PER DIEM RATES for day 61+</t>
  </si>
  <si>
    <t>11/24/25 - Added City of Hope BMT contracts - Allo Unrelated, Allo Related and Haploid</t>
  </si>
  <si>
    <t xml:space="preserve">The RatesForLookupTab has formulas.  </t>
  </si>
  <si>
    <t xml:space="preserve">     I did create the new range names for columns H thru Q</t>
  </si>
  <si>
    <t>The three contract tabs have hardcoded rates;  they must be replaced with formulas for 10/1/26</t>
  </si>
  <si>
    <t xml:space="preserve">       (Excel crashed several times, and Transplant Team doesn't need the formulas right now.)</t>
  </si>
  <si>
    <t xml:space="preserve">Setup for 10/1/2026 </t>
  </si>
  <si>
    <t>1/23/26 - Updates &amp; QC tab - Annual updates: rearranged step 2 and step 7 - do the inflation factor columns first</t>
  </si>
  <si>
    <t xml:space="preserve">     It is too much work to keep all three years for history  - every rate cell in every contract tab would need the Vlookup formulas updated.</t>
  </si>
  <si>
    <t xml:space="preserve">    If this is needed, it's easy enough to copy/paste values from 2025 into a copy of 2026</t>
  </si>
  <si>
    <t>The three new City of Hope contract tabs had hardcoded rates;  they were replaced with formulas 1/26/26</t>
  </si>
  <si>
    <t xml:space="preserve">    Also, their rates in RatesForLookup tab were hardcoded - changed to formulas</t>
  </si>
  <si>
    <t>2025_CITYHOPE_BMT_ALLO_UNREL_AD</t>
  </si>
  <si>
    <t>Moved these tabs over next to the 2025_CITYHOPE_BMT_AUT_ADULT tab</t>
  </si>
  <si>
    <t>2025_CITYHOPE_BMT_ALLO_REL_ADUL</t>
  </si>
  <si>
    <t xml:space="preserve">           to keep them in alpha order</t>
  </si>
  <si>
    <t>2025_CITYHOPE_BMT_HAPLOID_ADULT</t>
  </si>
  <si>
    <t>For the 2025_CITYHOPE_BMT_AUT_ADULT tab contract, changed "Western Regional MC" to "City of Hope" in column C of the RatesFor Lookup tab</t>
  </si>
  <si>
    <t xml:space="preserve">       Their name keeps changing, as of Jan 2026 HCL it's back to Western Regional by AHDS</t>
  </si>
  <si>
    <t xml:space="preserve">Sent to Lydia on 4/8/26, forwarded to Pam 5/20/26:  </t>
  </si>
  <si>
    <t>TRANSPLANT TEAM Matrix 10.1.2026 PENDING INFLATION FACTORS.xlsx</t>
  </si>
  <si>
    <t>Received from Pam on 6/5/26:</t>
  </si>
  <si>
    <t xml:space="preserve">             She added two tabs:  Index By Hospital and Index By Type</t>
  </si>
  <si>
    <t>6/9/26: Started with the file received back from Pam</t>
  </si>
  <si>
    <t xml:space="preserve"> Entered the inflation factor for 10/1/26 on the RatesForLookup tab = 1.0325</t>
  </si>
  <si>
    <t>Unprotected / unhid everything for QC, renamed file RATES TEAM matrix 10.1.2026 with Inflation Factor</t>
  </si>
  <si>
    <t>The 10/1/25 rates were wrong (in the file I sent to Lydia and to Pam)</t>
  </si>
  <si>
    <t xml:space="preserve">the wrong rates were </t>
  </si>
  <si>
    <t>times the correct rates.  Somehow the 10/1/25 rates were multiplied twice by the 10/1/25 factor</t>
  </si>
  <si>
    <t xml:space="preserve">    Verified by comparing to website posted 10/1/25 file, and to my Rates Team 10/1/25 files as of 6/16/25 and as of 11/24/25</t>
  </si>
  <si>
    <t xml:space="preserve">    Corrected the 10/1/25 rates to match the website rates</t>
  </si>
  <si>
    <t xml:space="preserve">    Also compared the 10/1/24 rates in my 10/1/25 file to the website posted 10/1/24 file - all correct</t>
  </si>
  <si>
    <t>6/12/26:  Natalie finished her QC of RATES TEAM MATRIX</t>
  </si>
  <si>
    <t>6/15/26:  changed formula on RatesForLookup tab, cell  B2 from SUBTOTAL to SUMIFS, to exclude the terminated contract reference errors</t>
  </si>
  <si>
    <t xml:space="preserve">     Deleted the Fomulas, Updates &amp; QC and Change Log tabs from the TRANSPLANT TEAM matrix</t>
  </si>
  <si>
    <t>6/16/26:  Wendy good with her review</t>
  </si>
  <si>
    <t>I'm sending the TRANSPLANT TEAM Matrix to Pam and Lydia, copying Wendy, Peter, asking her to give it a final review before we post it</t>
  </si>
  <si>
    <t>Will not file it in Sharepoint  - Documents - Transplant - Contract 2024 until Pam confirms</t>
  </si>
  <si>
    <t>PENDING</t>
  </si>
  <si>
    <t>7/2/26 -  Changed several contract dates per Pam</t>
  </si>
  <si>
    <t>7/10/26 - changed the day 61+ thresholds per Pam</t>
  </si>
  <si>
    <t>Met with Peter and Wendy prior to sending to Pam</t>
  </si>
  <si>
    <t xml:space="preserve">Vlookup: </t>
  </si>
  <si>
    <t>Catchup factor for Days 11+/61+ threshold</t>
  </si>
  <si>
    <t>FORMULA</t>
  </si>
  <si>
    <t>make up a short name,  not a formula</t>
  </si>
  <si>
    <t>not used</t>
  </si>
  <si>
    <t>HARDCODED</t>
  </si>
  <si>
    <t>FORMULA FOR LOOKUP</t>
  </si>
  <si>
    <t>Tab Name</t>
  </si>
  <si>
    <t>Unique Contract</t>
  </si>
  <si>
    <t>Hospital Name</t>
  </si>
  <si>
    <t>Hospital ID</t>
  </si>
  <si>
    <t>Contract Type</t>
  </si>
  <si>
    <t>10/1/25 Factor</t>
  </si>
  <si>
    <t xml:space="preserve">10/1/26 Factor
</t>
  </si>
  <si>
    <t>Row Reference</t>
  </si>
  <si>
    <t>Column Reference</t>
  </si>
  <si>
    <t>ColumnFlag2</t>
  </si>
  <si>
    <t>Row</t>
  </si>
  <si>
    <t>Column1</t>
  </si>
  <si>
    <t>Column2</t>
  </si>
  <si>
    <t>Component Name</t>
  </si>
  <si>
    <t>10/1/25 Rate</t>
  </si>
  <si>
    <t xml:space="preserve">10/1/26 Rate
</t>
  </si>
  <si>
    <t>Note</t>
  </si>
  <si>
    <t>QC Checkmark</t>
  </si>
  <si>
    <t>.</t>
  </si>
  <si>
    <t>Banner Gateway</t>
  </si>
  <si>
    <t>C</t>
  </si>
  <si>
    <t>D</t>
  </si>
  <si>
    <t>retroactive adjustment</t>
  </si>
  <si>
    <t>outlier threshold</t>
  </si>
  <si>
    <t>no adjustment</t>
  </si>
  <si>
    <t>NBMD or Cord blood Invoice Cost</t>
  </si>
  <si>
    <t>Banner U Phoenix</t>
  </si>
  <si>
    <t>Banner U Tucson</t>
  </si>
  <si>
    <t>On hold as of Dec 2024</t>
  </si>
  <si>
    <t>2025_BUMCT_CAD_LIVER</t>
  </si>
  <si>
    <t>2025_BUMCT_SIMUL_CAD_LIV_KDY</t>
  </si>
  <si>
    <t>BUMCT Terminated eff 5/9/25</t>
  </si>
  <si>
    <t>2025_BUMCT_SINGLE_LUNG</t>
  </si>
  <si>
    <t>2025_BUMCT_DOUBLE_LUNG</t>
  </si>
  <si>
    <t>City of Hope</t>
  </si>
  <si>
    <t>Lucille Packard</t>
  </si>
  <si>
    <t>included in rate</t>
  </si>
  <si>
    <t>N/A</t>
  </si>
  <si>
    <t>100% invoice</t>
  </si>
  <si>
    <t>35% of billed charges</t>
  </si>
  <si>
    <t>Mayo Clinic</t>
  </si>
  <si>
    <t>Fee For Service rates</t>
  </si>
  <si>
    <t>Phoenix Childrens</t>
  </si>
  <si>
    <t>CCR</t>
  </si>
  <si>
    <t>PASS THRU of drug cost only</t>
  </si>
  <si>
    <t>706707</t>
  </si>
  <si>
    <t>(PHT)</t>
  </si>
  <si>
    <t>Term'd but may reinstate</t>
  </si>
  <si>
    <t>Scottsdale Shea</t>
  </si>
  <si>
    <t>St Joseph's Phx</t>
  </si>
  <si>
    <t>Stanford</t>
  </si>
  <si>
    <t>U of CA San Francisco</t>
  </si>
  <si>
    <t>BANNER HEALTH  dba BANNER GATEWAY MEDICAL CENTER</t>
  </si>
  <si>
    <t>ADULT AUTOLOGOUS BONE MARROW TRANSPLANT CONTRACT (AUT)</t>
  </si>
  <si>
    <t>EFFECTIVE 10/1/2026 THROUGH 9/30/2027</t>
  </si>
  <si>
    <t>TRANSPLANT FACILITY ID# 262489</t>
  </si>
  <si>
    <t>ADULTS</t>
  </si>
  <si>
    <t xml:space="preserve">  COMPONENTS</t>
  </si>
  <si>
    <t>INCLUSIVE RATE</t>
  </si>
  <si>
    <t>OUTPATIENT EVALUATION* - Initial evaluation performed in an outpatient setting only* (not eligible for outlier consideration). Inpatient evaluations are billed outside the transplant contract.</t>
  </si>
  <si>
    <t>AUTOLOGOUS HARVEST</t>
  </si>
  <si>
    <t>PREP AND TRANSPLANT</t>
  </si>
  <si>
    <t>FOLLOW UP CARE - From day 1 post transplant through day 30 or a portion thereof</t>
  </si>
  <si>
    <t>FOLLOW UP CARE - From day 31  through day 60 or a portion thereof</t>
  </si>
  <si>
    <t>TOTAL AUTOLOGOUS BONE MARROW</t>
  </si>
  <si>
    <t>PER DIEM RATES for day 61+ of inpatient acute hospital care</t>
  </si>
  <si>
    <t>Days 11+/61+ paid at the per diem rate are not subject to the transplant outlier (prep and transplant through day 60) but are subject to outlier pursuant to the transplant specialty contract at an established threshold of $8,014.19</t>
  </si>
  <si>
    <t xml:space="preserve">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</si>
  <si>
    <t>***AHCCCS will pay for TOTAL BODY IRRADIATION (TBI)  separately and in addition to the existing rates provided the use conforms to the AHCCCS AM/PM policy regarding TBI. Rates for TBI are posted on the corresponding TBI rate sheet.</t>
  </si>
  <si>
    <t xml:space="preserve">   </t>
  </si>
  <si>
    <t>ADULT ALLOGENEIC RELATED BONE MARROW TRANSPLANT CONTRACT (ALO)</t>
  </si>
  <si>
    <t>RELATED DONOR SEARCH*(only 1 donor search will be reimbursed for Allogeneic Related and Haploid donors)</t>
  </si>
  <si>
    <t>RELATED DONOR HARVEST</t>
  </si>
  <si>
    <t>TOTAL ALLOGENEIC RELATED</t>
  </si>
  <si>
    <r>
      <rPr>
        <b/>
        <sz val="10"/>
        <rFont val="Arial"/>
        <family val="2"/>
      </rPr>
      <t>*Multiple Donor Searches will not be reimbursed for Allogeneic Related and Haploid Bone Marrow Transplant.</t>
    </r>
    <r>
      <rPr>
        <sz val="10"/>
        <rFont val="Arial"/>
        <family val="2"/>
      </rPr>
      <t xml:space="preserve"> *The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r>
  </si>
  <si>
    <t xml:space="preserve"> ADULT HAPLOID HEMATOPOIETIC STEM CELL TRANSPLANT CONTRACT (HAP)</t>
  </si>
  <si>
    <t>DONOR SEARCH* (only 1 donor search will be reimbursed for Allogeneic Related and Haploid donors)</t>
  </si>
  <si>
    <t>DONOR HARVEST (includes stem cell harvest) - National Bone Marrow Donor Program</t>
  </si>
  <si>
    <t>TOTAL HAPLOID RELATED</t>
  </si>
  <si>
    <t>Outlier Threshold</t>
  </si>
  <si>
    <r>
      <t xml:space="preserve">Outliers: Haploid Related cases and Severe Immune Syndrome (SCIDS) cases will be reimbursed at case rates unless billed charges for PREP AND TRANSPLANT AND FOLLOW UP CARE through day 60 exceed the Outlier Threshold. If total billed charges exceed the Outlier Threshold then the outlier reimbursement will be </t>
    </r>
    <r>
      <rPr>
        <b/>
        <sz val="10"/>
        <rFont val="Arial"/>
        <family val="2"/>
      </rPr>
      <t>reimbursed at 50% of billed charges.</t>
    </r>
  </si>
  <si>
    <t>Rate Above Threshold</t>
  </si>
  <si>
    <t>ADULT ALLOGENEIC UNRELATED BONE MARROW TRANSPLANT CONTRACT (ALU)</t>
  </si>
  <si>
    <t xml:space="preserve">ADULTS </t>
  </si>
  <si>
    <t>UNRELATED DONOR SEARCH</t>
  </si>
  <si>
    <t>TOTAL ALLOGENEIC UNRELATED BONE MARROW</t>
  </si>
  <si>
    <t>Outliers: Matched unrelated allogeneic and Severe Immune Syndrome (SCIDS) cases will be reimbursed at case rates unless billed charges exceed the Outlier Threshold. The case rate will cover the Outlier Threshold then charges greater than the Outlier Threshold will be reimbursed at 50% of billed charges.</t>
  </si>
  <si>
    <t xml:space="preserve">*The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</si>
  <si>
    <t>TOTAL BODY IRRADIATION (TBI)</t>
  </si>
  <si>
    <t>ADULTS &amp; PEDIATRICS</t>
  </si>
  <si>
    <t>TOTAL BODY IRRADIATION (TBI)  entered as a separate case type</t>
  </si>
  <si>
    <t>TOTAL BODY IRRADIATION</t>
  </si>
  <si>
    <t xml:space="preserve">  </t>
  </si>
  <si>
    <t>BANNER UNIVERSITY MEDICAL CENTER PHOENIX</t>
  </si>
  <si>
    <t>HEART TRANSPLANT CONTRACT (HRT)</t>
  </si>
  <si>
    <t>TRANSPLANT FACILITY ID# 529985</t>
  </si>
  <si>
    <t>TOTAL HEART</t>
  </si>
  <si>
    <t>**Heart cases will be reimbursed at case rate unless total billed charges for components PREP AND TRANSPLANT and FOLLOW UP CARE Day 1-60 exceed the Outlier Threshold.  Then all charges over the Outlier Threshold will be reimbursed at 50% of billed charges.</t>
  </si>
  <si>
    <t>Post care while patient is on the VAD will be paid at the AHCCCS plan negotiated or default contracted rates.</t>
  </si>
  <si>
    <r>
      <t xml:space="preserve">***AHCCCS will pay for Ventricular Assistance Devices (VADs), Cardiac Assistance Devices (CAD's), and Total Artificial Heart (TAH) separately provided the device is inserted as a bridge to transplant and the use conforms to the AHCCCS AM/PM policy regarding VADs, CADs and TAH's. As long as this provision is met, AHCCCS will pay up to the actual amount the facility is billed by the manufacturer for the device plus ten percent (10%). AHCCCS will require the facility's invoice for the devIce prior to payment. </t>
    </r>
    <r>
      <rPr>
        <b/>
        <sz val="10"/>
        <color rgb="FF000000"/>
        <rFont val="Arial"/>
        <family val="2"/>
      </rPr>
      <t>CAD/VAD/TAH's inserted as destination therapy are covered outside the Transplant Contract.</t>
    </r>
  </si>
  <si>
    <t>`</t>
  </si>
  <si>
    <t>CADAVERIC DONOR KIDNEY TRANSPLANT CONTRACT (CKY)</t>
  </si>
  <si>
    <t>PREP &amp; TRANSPLANT UP TO AND INCLUDING DAY 10 OF INPATIENT CONVALESCENT CARE.</t>
  </si>
  <si>
    <t>TOTAL KIDNEY (CADAVERIC DONOR)</t>
  </si>
  <si>
    <t>PER DIEM RATES for day 11+ of inpatient acute hospital care</t>
  </si>
  <si>
    <t>LIVING DONOR KIDNEY TRANSPLANT CONTRACT (KDY)</t>
  </si>
  <si>
    <t>PREP &amp; TRANSPLANT UP TO AND INCLUDING DAY 10 OF INPATIENT CONVALESCENT CARE</t>
  </si>
  <si>
    <t>LIVING DONOR SURGERY AND INPATIENT RECOVERY UP TO AND INCLUDING DAY 3 OF INPATIENT CONVALESCENT CARE</t>
  </si>
  <si>
    <t>TOTAL KIDNEY (LIVING DONOR)</t>
  </si>
  <si>
    <t>PANCREAS AFTER KIDNEY TRANSPLANT  CONTRACT (PAK)</t>
  </si>
  <si>
    <t>FOLLOW UP CARE - From day 31 through day 60 or a portion thereof</t>
  </si>
  <si>
    <t>TOTAL PANCREAS AFTER KIDNEY</t>
  </si>
  <si>
    <t>SIMULATANEOUS KIDNEY/PANCREAS TRANSPLANT  CONTRACT (SPK)</t>
  </si>
  <si>
    <t>TOTAL KIDNEY/PANCREAS</t>
  </si>
  <si>
    <t>ADULT CADAVERIC LIVER TRANSPLANT CONTRACT (LIV)</t>
  </si>
  <si>
    <t>TOTAL LIVER</t>
  </si>
  <si>
    <t>SIMULTANEOUS CADAVERIC LIVER/KIDNEY TRANSPLANT CONTRACT (SLK)</t>
  </si>
  <si>
    <t>TOTAL LIVER/KIDNEY</t>
  </si>
  <si>
    <t>BANNER UNIVERSITY MEDICAL CENTER TUCSON CAMPUS, LLC</t>
  </si>
  <si>
    <t>PEDIATRIC AUTOLOGOUS BONE MARROW TRANSPLANT CONTRACT (PAU)</t>
  </si>
  <si>
    <t>TRANSPLANT FACILITY ID# 988439</t>
  </si>
  <si>
    <t>PEDIATRIC**</t>
  </si>
  <si>
    <t>**Pediatric services are those defined under EPSDT-Early and Periodic Screening, Diagnosis and Treatment as services for persons under 21 years of age, as described in AHCCCS rules R9-22, Article 2 (R9-22-213)</t>
  </si>
  <si>
    <t>PEDIATRIC ALLOGENEIC RELATED BONE MARROW TRANSPLANT CONTRACT (PAL)</t>
  </si>
  <si>
    <t>RELATED DONOR SEARCH*</t>
  </si>
  <si>
    <r>
      <rPr>
        <b/>
        <sz val="10"/>
        <color rgb="FF000000"/>
        <rFont val="Arial"/>
        <family val="2"/>
      </rPr>
      <t>*Multiple Donor Searches will not be reimbursed for Allogeneic Related and Haploid Bone Marrow Transplant.</t>
    </r>
    <r>
      <rPr>
        <sz val="10"/>
        <color rgb="FF000000"/>
        <rFont val="Arial"/>
        <family val="2"/>
      </rPr>
      <t xml:space="preserve"> *The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r>
  </si>
  <si>
    <t xml:space="preserve"> PEDIATRIC HAPLOID HEMATOPOIETIC STEM CELL TRANSPLANT CONTRACT (PHA)</t>
  </si>
  <si>
    <t>DONOR SEARCH *</t>
  </si>
  <si>
    <r>
      <rPr>
        <b/>
        <sz val="10"/>
        <color rgb="FF000000"/>
        <rFont val="Arial"/>
        <family val="2"/>
      </rPr>
      <t xml:space="preserve">*Multiple Donor Searches will not be reimbursed for Allogeneic Related and Haploid Bone Marrow Transplant. </t>
    </r>
    <r>
      <rPr>
        <sz val="10"/>
        <color rgb="FF000000"/>
        <rFont val="Arial"/>
        <family val="2"/>
      </rPr>
      <t xml:space="preserve">*The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r>
  </si>
  <si>
    <t>PEDIATRIC ALLOGENEIC UNRELATED BONE MARROW TRANSPLANT CONTRACT (PLU)</t>
  </si>
  <si>
    <t xml:space="preserve">                                                                                                                                                                                                                                                                                                                                                                                                                                                                                                                                                                                                                                                                                                                                                                                                                                                                                                                                                                                                                                                                                                                                                                                                                                                                                                                                                                                                                                                                                                                                                                                                                                                                                                                                                                                                    </t>
  </si>
  <si>
    <t>TOTAL AUTOLOGOUS BMT</t>
  </si>
  <si>
    <t xml:space="preserve">DONOR SEARCH* </t>
  </si>
  <si>
    <t xml:space="preserve">PREP AND TRANSPLANT UP TO AND INCLUDING DAY 10 OF INPATIENT CONVALESCENT SERVICES.  </t>
  </si>
  <si>
    <t>TOTAL KIDNEY LIVING DONOR</t>
  </si>
  <si>
    <t>PREP &amp; TRANSPLANT UP TO AND INCLUDING DAY 10 OF INPATIENT CONVALESCENT SERVICE</t>
  </si>
  <si>
    <t>TOTAL KIDNEY - DECEASED DONOR</t>
  </si>
  <si>
    <t>PANCREAS AFTER KIDNEY TRANSPLANT CONTRACT (PAK)</t>
  </si>
  <si>
    <t>SIMULTANEOUS KIDNEY-PANCREAS TRANSPLANT CONTRACT (SPK)</t>
  </si>
  <si>
    <t>TOTAL KIDNEY-PANCREAS</t>
  </si>
  <si>
    <t>WESTERN REGIONAL MEDICAL CENTER, INC. dba CITY OF HOPE PHOENIX</t>
  </si>
  <si>
    <t>TRANSPLANT FACILITY ID# 091458</t>
  </si>
  <si>
    <t>LUCILE SALTER PACKARD CHILDREN'S HOSPITAL</t>
  </si>
  <si>
    <t>EFFECTIVE 10/01/2026 THROUGH 9/30/2027</t>
  </si>
  <si>
    <t>TRANSPLANT FACILITY ID# 355075</t>
  </si>
  <si>
    <t>EVALUATION (Inpatient or outpatient)  - If completed as an inpatient it requires the facility to split bill the evaluation days if member remains in  the facility after testing is completed.</t>
  </si>
  <si>
    <t>TBI</t>
  </si>
  <si>
    <t>PER DIEM RATES for day 61+ of inpatient acute hospital care - 35% of billed charges</t>
  </si>
  <si>
    <r>
      <t xml:space="preserve">**Autologous Bone Marrow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of billed charges.</t>
    </r>
  </si>
  <si>
    <t>Rate above Threshold</t>
  </si>
  <si>
    <t>RELATED DONOR SEARCH</t>
  </si>
  <si>
    <t>Days 61+ through date of discharge will be reimbursed at 35% of billed charges.</t>
  </si>
  <si>
    <t>OUTPATIENT EVALUATION* - Initial evaluation performed in an outpatient setting (not eligible for outlier consideration)</t>
  </si>
  <si>
    <t>Only applicable to Allogeneic Unrelated Case Types</t>
  </si>
  <si>
    <t>PEDIATRIC LIVER TRANSPLANT (PLL)</t>
  </si>
  <si>
    <t>PEDIATRIC LIVER ONLY WITH LIVING DONOR</t>
  </si>
  <si>
    <t>PEDIATRIC** ALL INCLUSIVE RATE</t>
  </si>
  <si>
    <t>FOLLOW UP CARE - From day 31 post transplant through day 60 or a portion thereof</t>
  </si>
  <si>
    <t xml:space="preserve">TOTAL PEDIATRIC LIVER </t>
  </si>
  <si>
    <t>Immunosuppressant medications required when the member has been discharged from the acute care facility and required to remain within close proximity to the transplant facility will be arranged for by AHCCCS or the MCO and are not included in the component rate.</t>
  </si>
  <si>
    <r>
      <t xml:space="preserve">Liver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xml:space="preserve"> of billed charges.</t>
    </r>
  </si>
  <si>
    <t>PEDIATRIC LIVER TRANSPLANT (PLV)</t>
  </si>
  <si>
    <t>PEDIATRIC LIVER ONLY WITH CADAVERIC DONOR</t>
  </si>
  <si>
    <t>PEDIATRIC DOUBLE LUNG (PDL) TRANSPLANT CONTRACT (includes single lung) (PLS)</t>
  </si>
  <si>
    <t>TOTAL DOUBLE LUNG</t>
  </si>
  <si>
    <r>
      <t xml:space="preserve">Lung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of billed charges.</t>
    </r>
  </si>
  <si>
    <t>PEDIATRIC HEART TRANSPLANT (PHT)</t>
  </si>
  <si>
    <t xml:space="preserve">            </t>
  </si>
  <si>
    <r>
      <t xml:space="preserve">Heart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of billed charges.</t>
    </r>
  </si>
  <si>
    <t>PEDIATRIC HEART and LUNG TRANSPLANT CONTRACT (PHL)</t>
  </si>
  <si>
    <t>TOTAL HEART AND LUNG</t>
  </si>
  <si>
    <r>
      <t xml:space="preserve">Outlier:  Heart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xml:space="preserve"> of billed charges.</t>
    </r>
  </si>
  <si>
    <r>
      <t xml:space="preserve">***AHCCCS will pay for Ventricular Assistance Devices (VADs), Cardiac Assistance Devices (CAD's), and Total Artificial Heart (TAH) separately provided the device is inserted as a bridge to transplant and the use conforms to the AHCCCS AM/PM policy regarding VADs, CADs and TAH's. As long as this provision is met, AHCCCS will pay up to the actual amount the facility is billed by the manufacturer for the device plus ten percent (10%). AHCCCS will require the facility's invoice for the devIce prior to payment. </t>
    </r>
    <r>
      <rPr>
        <b/>
        <sz val="10"/>
        <color rgb="FF000000"/>
        <rFont val="Arial"/>
        <family val="2"/>
      </rPr>
      <t>CAD/VAD/TAH's inserted as destination therapy are covered outside the Transplant Contract</t>
    </r>
  </si>
  <si>
    <t>PEDIATRIC AND YOUNG ADULT HEART and LIVER TRANSPLANT CONTRACT (PLH)</t>
  </si>
  <si>
    <t>TOTAL HEART AND LIVER</t>
  </si>
  <si>
    <r>
      <t xml:space="preserve">Outlier:  Heart/Liver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xml:space="preserve"> of billed charges.</t>
    </r>
  </si>
  <si>
    <t>PEDIATRIC INTESTINAL TRANSPLANT CONTRACT (PVC)</t>
  </si>
  <si>
    <t>MULTI-VISCERAL CADAVERIC DONOR (INTESTINE, LIVER, PANCREAS EN BLOC)</t>
  </si>
  <si>
    <t>EVALUATION (Inpatient or outpatient)  - If completed as an inpatient it requires the facility to split bill for the one or two days to complete the testing if member remains in  the facility after testing is completed.</t>
  </si>
  <si>
    <t>TOTAL INTESTINAL MULTI-VISCERAL</t>
  </si>
  <si>
    <r>
      <t xml:space="preserve">**Multi visceral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of billed charges.</t>
    </r>
  </si>
  <si>
    <t>PEDIATRIC INTESTINAL TRANSPLANT CONTRACT (PCB)</t>
  </si>
  <si>
    <t>SINGLE ORGAN, and/or INTESTINE CADAVERIC DONOR</t>
  </si>
  <si>
    <t>TOTAL SIMPLE ORGAN INTESTINAL</t>
  </si>
  <si>
    <r>
      <t xml:space="preserve">Intestinal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35</t>
    </r>
    <r>
      <rPr>
        <sz val="10"/>
        <rFont val="Arial"/>
        <family val="2"/>
      </rPr>
      <t>% of billed charges.</t>
    </r>
  </si>
  <si>
    <t>MAYO CLINIC HOSPITAL SCOTTSDALE</t>
  </si>
  <si>
    <t>TRANSPLANT FACILITY ID# 449357</t>
  </si>
  <si>
    <t>OUTPATIENT FOLLOW UP CARE - From day 61 through day 100 or a portion thereof; to be submitted as a component when services are performed in an outpatient setting (not eligible for outlier consideration)</t>
  </si>
  <si>
    <t>The Tandem BMTis a second procedure that can either occur during the initial BMT follow up period or after the initial BMT follow up period is complete.  Contractor shall receive case rate reimbursement (at the current contracted rate) for each component of the Tandem BMT.</t>
  </si>
  <si>
    <t xml:space="preserve">RELATED DONOR SEARCH* </t>
  </si>
  <si>
    <t>DONOR RELATED HARVEST (NATIONAL MARROW DONOR PROGRAM/CORD BLOOD ACQUISITION)</t>
  </si>
  <si>
    <t>TOTAL ALLOGENIC RELATED</t>
  </si>
  <si>
    <t>DONOR SEARCH*</t>
  </si>
  <si>
    <t>DONOR HARVEST (INCLUDES STEM CELL HARVEST) - NATIONAL MARROW DONOR PROGRAM CORD BLOOD ACQUISITION</t>
  </si>
  <si>
    <t>ADULT  ALLOGENIC UNRELATED BONE MARROW TRANSPLANT CONTRACT (ALU)</t>
  </si>
  <si>
    <t>TOTAL ALLOGENIC UNRELATED BONE MARROW</t>
  </si>
  <si>
    <t xml:space="preserve"> PEDIATRIC AUTOLOGOUS BONE MARROW TRANSPLANT CONTRACT (PAU)</t>
  </si>
  <si>
    <t>PEDIATRICS</t>
  </si>
  <si>
    <t xml:space="preserve"> PEDIATRIC ALLOGENEIC RELATED BONE MARROW TRANSPLANT CONTRACT (PAL)</t>
  </si>
  <si>
    <t>PEDIATRIC</t>
  </si>
  <si>
    <t>PEDIATRIC  HAPLOID RELATED HEMATOPOIETIC STEM CELL TRANSPLANT CONTRACT (PHA)</t>
  </si>
  <si>
    <t>PEDIATRIC  ALLOGENEIC UNRELATED BONE MARROW TRANSPLANT CONTRACT (PLU)</t>
  </si>
  <si>
    <t>Outliers:  Matched Unrelated allogeneic (MUDS) and Severe Immune Syndrome (SCIDS) cases will be reimbursed at case rates unless billed charges exceed the Outlier Threshold.  The case rate will cover theOutlier Threshold then charges greater than the Outlier Threshold will be reimbursed at 50% of billed charges.</t>
  </si>
  <si>
    <t>**Heart cases will be reimbursed at case rate unless total billed charges for components PREP AND TRANSPLANT and FOLLOW UP CARE through day 60 exceeds the Outlier Threshold. Then all charges over the Outlier Threshold will be reimbursed at 50% of billed charges.</t>
  </si>
  <si>
    <t>PREP AND TRANSPLANT UP TO AND INCLUDING DAY 10 OF INPATIENT CONVALESCENT SERVICES</t>
  </si>
  <si>
    <t>LIVING DONOR SURGERY AND INPATIENT RECOVERY UP TO AND INCLUDING DAY 3 OF INPATIENT CONVALESCENT SERVICES</t>
  </si>
  <si>
    <t>TOTAL KIDNEY DECEASED DONOR</t>
  </si>
  <si>
    <t>ADULT CADAVERIC</t>
  </si>
  <si>
    <t xml:space="preserve">MAYO CLINIC HOSPITAL SCOTTSDALE </t>
  </si>
  <si>
    <t>SIMULTANEOUS KIDNEY/PANCREAS TRANSPLANT CONTRACT (SPK)</t>
  </si>
  <si>
    <t>TOTAL SIMULTANEOUS KIDNEY/PANCREAS (through 60 days)</t>
  </si>
  <si>
    <t xml:space="preserve">TOTAL PANCREAS AFTER KIDNEY </t>
  </si>
  <si>
    <t xml:space="preserve">PHOENIX CHILDREN'S HOSPITAL </t>
  </si>
  <si>
    <t>EFFECTIVE 10/01/2026 THROUGH 09/30/2027</t>
  </si>
  <si>
    <t>TRANSPLANT FACILITY ID# 706707</t>
  </si>
  <si>
    <t xml:space="preserve">RELATED DONOR SEARCH*  </t>
  </si>
  <si>
    <t>DONOR HARVEST - NATIONAL BONE MARROW DONOR PROGRAM</t>
  </si>
  <si>
    <t>TOTAL ALLOGENIC RELATED BMT</t>
  </si>
  <si>
    <t>Outliers:   Related Allogeneic cases will be reimbursed at case rates unless billed charges exceed the Outlier Threshold.  The case rate will cover the Outlier Threshold then charges greater than the Outlier Threshold will be reimbursed at 50% of billed charges.</t>
  </si>
  <si>
    <t>DONOR HARVEST (includes stem cell harvest) - NATIONAL MARROW DONOR PROGRAM OR OTHER FACILITY HARVESTING STEM CELLS OR BONE MARROW</t>
  </si>
  <si>
    <t>TOTAL ALLOGENIC RELATED HAPLOID</t>
  </si>
  <si>
    <t>Outliers:  Haploid cases will be reimbursed at case rate unless total billed charges for components PREP AND TRANSPLANT and FOLLOW UP CARE through day 60 exceed the Outlier Threshold.  If total billed charges exceed the Outlier Threshold then outlier reimbursement is the total billed charges above the Outlier Threshold times the AHCCCS cost to charge ratio (in effect on the begin date of the prep and transplant component) for Phoenix Children's Hospital.</t>
  </si>
  <si>
    <t>DONOR SEARCH</t>
  </si>
  <si>
    <t>DONOR HARVEST (includes stem cell harvest) - NATIONAL BONE MARROW DONOR PROGRAM</t>
  </si>
  <si>
    <t>TOTAL ALLOGENIC UNRELATED BONE MARROW TRANSPLANT</t>
  </si>
  <si>
    <t>ONLY FOR TREATMENT OF ADULT MEMBERS WITH SICKLE CELL DISEASE DIAGNOSIS</t>
  </si>
  <si>
    <t>Outlier Theshold</t>
  </si>
  <si>
    <t xml:space="preserve"> DEFIBROTIDE DRUG THERAPY FOR THE TREATMENT OF VENOUS OCCLUSIVE DISEASE CONTRACT (VOD)</t>
  </si>
  <si>
    <t xml:space="preserve">DEFIBROTIDE DRUG THERAPY (must be administered in an inpatient setting* and billed at the 340B actual acquisition cost for the treatment of Venous Occlusive Disease (VOD) </t>
  </si>
  <si>
    <t>TOTAL VOD CASE TYPE</t>
  </si>
  <si>
    <t>*Defibrotide may not be purchased under the 340B program, whether it is given inpatient or outpatient. AHCCCS will be submitting the drug utilization for the federal rebate.</t>
  </si>
  <si>
    <t>PHOENIX CHILDREN'S HOSPITAL</t>
  </si>
  <si>
    <t>PEDIATRIC KIDNEY LIVING DONOR TRANSPLANT CONTRACT (PKY)</t>
  </si>
  <si>
    <t>PEDIATRIC KIDNEY CADAVERIC DONOR TRANSPLANT CONTRACT (PCK)</t>
  </si>
  <si>
    <t>Pediatric** Heart</t>
  </si>
  <si>
    <t>(includes newborns)</t>
  </si>
  <si>
    <t>ALL INCLUSIVE RATE</t>
  </si>
  <si>
    <t>TOTAL PEDIATRIC HEART</t>
  </si>
  <si>
    <t>Outlier:  Heart cases will be reimbursed at case rate unless total billed charges for components PREP AND TRANSPLANT and FOLLOW UP CARE through day 60 exceed the Outlier Threshold.  If total billed charges exceed the Outlier Threshold then outlier reimbursement is the total billed charges above the Outlier Threshold times the AHCCCS cost to charge ratio (in effect on the begin date of the prep and transplant component) for Phoenix Children's Hospital.</t>
  </si>
  <si>
    <r>
      <t xml:space="preserve">AHCCCS will pay for Ventricular Assistance Devices (VADs), Cardiac Assistance Devices (CAD's), and Total Artificial Heart (TAH) separately provided the device is inserted as a bridge to transplant and the use conforms to the AHCCCS AM/PM policy regarding VADs, CADs and TAH's. As long as this provision is met, AHCCCS will pay up to the actual amount the facility is billed by the manufacturer for the device plus ten percent (10%). AHCCCS will require the facility's invoice for the devIce prior to payment. </t>
    </r>
    <r>
      <rPr>
        <b/>
        <sz val="10"/>
        <color rgb="FF000000"/>
        <rFont val="Arial"/>
        <family val="2"/>
      </rPr>
      <t>CAD/VAD/TAH's inserted as destination therapy are covered outside the Transplant Contract.</t>
    </r>
    <r>
      <rPr>
        <sz val="10"/>
        <color rgb="FF000000"/>
        <rFont val="Arial"/>
        <family val="2"/>
      </rPr>
      <t xml:space="preserve"> Post implant care while patient is on these devices will be paid at the Health Plan negotiated or default contracted rates. Components included as the invoice cost are blood pumps, cannulas, pu valves, connecting sets and drive lines.  Items covered under the "Plus 10%" include freight, stationery driver unit rentals and other technical/training support services. </t>
    </r>
  </si>
  <si>
    <t>***AHCCCS will pay for Ventricular Assistance Devices (VADs) separately and in addition to the existing heart transplant rates provided the use conforms to the AHCCCS AM/PM policy regarding VADs. As long as this provision is met, AHCCCS will pay up to the actual amount the facility is billed by the manufacturer for the VAD plus ten percent (10%). AHCCCS will require the facility's invoice for the VAD prior to payment.</t>
  </si>
  <si>
    <t xml:space="preserve">PHOENIX CHILDRENS HOSPITAL </t>
  </si>
  <si>
    <t>PEDIATRIC CADAVERIC LIVER TRANSPLANT (PLV)</t>
  </si>
  <si>
    <t>PEDIATRIC** INCLUSIVE RATE</t>
  </si>
  <si>
    <t>TOTAL PEDIATRIC LIVER</t>
  </si>
  <si>
    <t>Outlier:  Liver cases will be reimbursed at case rate unless total billed charges for components PREP AND TRANSPLANT and FOLLOW UP CARE through day 60 exceed the Outlier Threshold.  If total billed charges exceed the Outlier Threshold then outlier reimbursement is the total billed charges above the Outlier Threshold times the AHCCCS cost to charge ratio (in effect on the begin date of the prep and transplant component) for Phoenix Children's Hospital.</t>
  </si>
  <si>
    <t>SCOTTSDALE HEALTHCARE SHEA dba HONOR HEALTH</t>
  </si>
  <si>
    <t>TRANSPLANT FACILITY ID# 021501</t>
  </si>
  <si>
    <t>TOTAL AUTOLOGOUS BONE MARROW TRANSPLANT</t>
  </si>
  <si>
    <t>DONOR RELATED HARVEST</t>
  </si>
  <si>
    <t>TOTAL  ALLOGENEIC RELATED</t>
  </si>
  <si>
    <r>
      <rPr>
        <b/>
        <sz val="10"/>
        <color rgb="FF000000"/>
        <rFont val="Arial"/>
        <family val="2"/>
      </rPr>
      <t xml:space="preserve">*Multiple Donor Searches will not be reimbursed for Allogeneic Related and Haploid Bone Marrow Transplant. </t>
    </r>
    <r>
      <rPr>
        <sz val="10"/>
        <color rgb="FF000000"/>
        <rFont val="Arial"/>
        <family val="2"/>
      </rPr>
      <t xml:space="preserve">*The inpatient transplant evaluation(s) is not a billing component under the transplant specialty contract.  Services provided to an AHCCCS member enrolled as a fee for service member, by a transplant facility, for the purpose of determining whether the member is a candidate for a solid organ or a hematopoietic stem cell (bone marrow, peripheral blood or cord blood) transplant will be reimbursed based on the AHCCCS Fee-For Service rates, including the DRG based hospital payment system if the member is an inpatient.  </t>
    </r>
  </si>
  <si>
    <t>TOTAL  HAPLOID RELATED</t>
  </si>
  <si>
    <t>DONOR HARVEST</t>
  </si>
  <si>
    <t>TOTAL  ALLOGENEIC UNRELATED</t>
  </si>
  <si>
    <t>ST. JOSEPH'S HOSPITAL AND MEDICAL CENTER</t>
  </si>
  <si>
    <t>SINGLE LUNG TRANSPLANT CONTRACT (SLT)</t>
  </si>
  <si>
    <t>TRANSPLANT FACILITY ID# 691974</t>
  </si>
  <si>
    <t>TOTAL SINGLE LUNG</t>
  </si>
  <si>
    <t>DOUBLE LUNG TRANSPLANT (DLL)</t>
  </si>
  <si>
    <t>SIMULTANEOUS CADAVERIC LIVER AND KIDNEY TRANSPLANT CONTRACT (SLK)</t>
  </si>
  <si>
    <t>CADAVERIC DONOR KIDNEY TRANSPLANT  (CKY)</t>
  </si>
  <si>
    <t>TOTAL CADAVERIC KIDNEY</t>
  </si>
  <si>
    <t>LIVING DONOR KIDNEY TRANSPLANT  (KDY)</t>
  </si>
  <si>
    <t>OUTPATIENT EVALUATION* - Initial evaluation performed in an outpatient setting (not eligible for outlier consideration); to include any living donor services needed to determine living donor candidacy for donation</t>
  </si>
  <si>
    <t>TOTAL LIVING DONOR KIDNEY</t>
  </si>
  <si>
    <t>STANFORD HOSPITAL AND HEALTHCARE</t>
  </si>
  <si>
    <t>TRANSPLANT FACILITY ID# 635477</t>
  </si>
  <si>
    <t>NPI 1871543215</t>
  </si>
  <si>
    <t>Adults</t>
  </si>
  <si>
    <t>TOTAL</t>
  </si>
  <si>
    <t>ROOM &amp; BOARD-PER DIEM</t>
  </si>
  <si>
    <r>
      <t xml:space="preserve">**Heart cases will be reimbursed at case rate unless total billed charges for components PREP AND TRANSPLANT and FOLLOW UP CARE through day 60 exceed the Outlier Threshold.  Then all charges over the Outlier Threshold  will be reimbursed at </t>
    </r>
    <r>
      <rPr>
        <b/>
        <sz val="10"/>
        <rFont val="Arial"/>
        <family val="2"/>
      </rPr>
      <t>40</t>
    </r>
    <r>
      <rPr>
        <sz val="10"/>
        <rFont val="Arial"/>
        <family val="2"/>
      </rPr>
      <t>% of billed charges.</t>
    </r>
  </si>
  <si>
    <t>Days 61+ through date of discharge will be paid at 40% of billed charges.</t>
  </si>
  <si>
    <t>SINGLE LUNG TRANSPLANT CONTRACT (SLT) or DOUBLE LUNG TRANSPLANT (DLL)</t>
  </si>
  <si>
    <t>**Lung cases will be reimbursed at case rate unless total billed charges for components PREP AND TRANSPLANT and FOLLOW UP CARE through day 60 exceed the Outlier Threshold.  Then all charges over the Outlier Threshold  will be reimbursed at 40% of billed charges.</t>
  </si>
  <si>
    <t>ADULT HEART and LUNG TRANSPLANT (HLT)</t>
  </si>
  <si>
    <t>UNIVERSITY OF CALIFORNIA SAN FRANCISCO MEDICAL CENTER</t>
  </si>
  <si>
    <t>ALLOGENEIC UNRELATED PEDIATRIC BONE MARROW TRANSPLANT CONTRACT SCID ONLY (PLU)</t>
  </si>
  <si>
    <t>TRANSPLANT FACILITY ID# 539512</t>
  </si>
  <si>
    <t>DONOR HARVEST (includes stem cell harvest) National Bone Marrow Donor Program</t>
  </si>
  <si>
    <t>TOTAL ALLOGENIC UNRELATED BMT</t>
  </si>
  <si>
    <t>Outlier:  If charges exceed the Outlier Threshold charges above the Outlier Threshold will be paid at 50% of billed charges.</t>
  </si>
  <si>
    <t>Does not include post transplant medication</t>
  </si>
  <si>
    <t>PEDIATRIC ALLOGENEIC RELATED  BONE MARROW TRANSPLANT CONTRACT SCID ONLY (PAL)</t>
  </si>
  <si>
    <t>PEDIATRIC AUTOLOGOUS BONE MARROW TRANSPLANT CONTRACT SCID ONLY (PAU)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</si>
</sst>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quot;$&quot;#,##0.00&quot; &quot;;[Red]&quot;(&quot;&quot;$&quot;#,##0.00&quot;)&quot;"/>
    <numFmt numFmtId="166" formatCode="&quot; &quot;&quot;$&quot;#,##0.00&quot; &quot;;&quot; &quot;&quot;$&quot;&quot;(&quot;#,##0.00&quot;)&quot;;&quot; &quot;&quot;$&quot;&quot;-&quot;00&quot; &quot;;&quot; &quot;@&quot; &quot;"/>
    <numFmt numFmtId="167" formatCode="_(&quot;$&quot;* #,##0_);_(&quot;$&quot;* \(#,##0\);_(&quot;$&quot;* &quot;-&quot;??_);_(@_)"/>
    <numFmt numFmtId="168" formatCode="&quot; &quot;&quot;$&quot;#,##0&quot; &quot;;&quot; &quot;&quot;$&quot;&quot;(&quot;#,##0&quot;)&quot;;&quot; &quot;&quot;$&quot;&quot;-&quot;00&quot; &quot;;&quot; &quot;@&quot; &quot;"/>
    <numFmt numFmtId="169" formatCode="&quot;$&quot;#,##0"/>
    <numFmt numFmtId="170" formatCode="&quot;$&quot;#,##0&quot; &quot;;[Red]&quot;(&quot;&quot;$&quot;#,##0&quot;)&quot;"/>
    <numFmt numFmtId="171" formatCode="&quot; &quot;&quot;$&quot;#,##0.00&quot; &quot;;&quot; &quot;&quot;$&quot;&quot;(&quot;#,##0.00&quot;)&quot;;&quot; &quot;&quot;$&quot;&quot;-&quot;00.00&quot; &quot;;&quot; &quot;@&quot; &quot;"/>
    <numFmt numFmtId="172" formatCode="0.0%"/>
    <numFmt numFmtId="173" formatCode="0.0000"/>
  </numFmts>
  <fonts count="92">
    <font>
      <sz val="10"/>
      <color rgb="FF000000"/>
      <name val="Courier"/>
      <family val="3"/>
    </font>
    <font>
      <sz val="12"/>
      <color theme="1"/>
      <name val="Calibri"/>
      <family val="2"/>
    </font>
    <font>
      <sz val="11"/>
      <color theme="1"/>
      <name val="Calibri"/>
      <family val="2"/>
      <scheme val="minor"/>
    </font>
    <font>
      <sz val="12"/>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Courier"/>
      <family val="3"/>
    </font>
    <font>
      <sz val="10"/>
      <color rgb="FF000000"/>
      <name val="Arial"/>
      <family val="2"/>
    </font>
    <font>
      <b/>
      <sz val="12"/>
      <color rgb="FF000000"/>
      <name val="Arial"/>
      <family val="2"/>
    </font>
    <font>
      <sz val="12"/>
      <color rgb="FF000000"/>
      <name val="Arial"/>
      <family val="2"/>
    </font>
    <font>
      <sz val="11"/>
      <color rgb="FF000000"/>
      <name val="Arial"/>
      <family val="2"/>
    </font>
    <font>
      <b/>
      <u/>
      <sz val="11"/>
      <color rgb="FF000000"/>
      <name val="Arial"/>
      <family val="2"/>
    </font>
    <font>
      <b/>
      <sz val="10"/>
      <color rgb="FF000000"/>
      <name val="Arial"/>
      <family val="2"/>
    </font>
    <font>
      <sz val="10"/>
      <color rgb="FFFF0000"/>
      <name val="Arial"/>
      <family val="2"/>
    </font>
    <font>
      <sz val="8"/>
      <color rgb="FF000000"/>
      <name val="Arial"/>
      <family val="2"/>
    </font>
    <font>
      <b/>
      <sz val="14"/>
      <color rgb="FFFF0000"/>
      <name val="Arial"/>
      <family val="2"/>
    </font>
    <font>
      <sz val="10"/>
      <color rgb="FFFF0000"/>
      <name val="Courier"/>
      <family val="3"/>
    </font>
    <font>
      <sz val="9"/>
      <color rgb="FF000000"/>
      <name val="Arial"/>
      <family val="2"/>
    </font>
    <font>
      <b/>
      <sz val="9"/>
      <color rgb="FF000000"/>
      <name val="Arial"/>
      <family val="2"/>
    </font>
    <font>
      <sz val="12"/>
      <color rgb="FF000000"/>
      <name val="Courier"/>
      <family val="3"/>
    </font>
    <font>
      <b/>
      <sz val="12"/>
      <color rgb="FFFF0000"/>
      <name val="Arial"/>
      <family val="2"/>
    </font>
    <font>
      <b/>
      <sz val="11"/>
      <color rgb="FFFF0000"/>
      <name val="Arial"/>
      <family val="2"/>
    </font>
    <font>
      <sz val="10"/>
      <name val="Arial"/>
      <family val="2"/>
    </font>
    <font>
      <sz val="12"/>
      <color rgb="FFFF0000"/>
      <name val="Courier"/>
      <family val="3"/>
    </font>
    <font>
      <sz val="12"/>
      <color rgb="FFFF0000"/>
      <name val="Arial"/>
      <family val="2"/>
    </font>
    <font>
      <b/>
      <sz val="10"/>
      <name val="Arial"/>
      <family val="2"/>
    </font>
    <font>
      <b/>
      <sz val="12"/>
      <color theme="1"/>
      <name val="Arial"/>
      <family val="2"/>
    </font>
    <font>
      <sz val="10"/>
      <color rgb="FF000000"/>
      <name val="Calibri"/>
      <family val="2"/>
    </font>
    <font>
      <sz val="11"/>
      <name val="Calibri"/>
      <family val="2"/>
    </font>
    <font>
      <sz val="12"/>
      <color rgb="FF000000"/>
      <name val="Calibri"/>
      <family val="2"/>
      <scheme val="minor"/>
    </font>
    <font>
      <b/>
      <sz val="12"/>
      <color rgb="FF000000"/>
      <name val="Calibri"/>
      <family val="2"/>
      <scheme val="minor"/>
    </font>
    <font>
      <b/>
      <sz val="12"/>
      <name val="Arial"/>
      <family val="2"/>
    </font>
    <font>
      <b/>
      <sz val="12"/>
      <color rgb="FF0000FF"/>
      <name val="Calibri"/>
      <family val="2"/>
      <scheme val="minor"/>
    </font>
    <font>
      <b/>
      <sz val="12"/>
      <color indexed="12"/>
      <name val="Calibri"/>
      <family val="2"/>
      <scheme val="minor"/>
    </font>
    <font>
      <sz val="9"/>
      <color indexed="81"/>
      <name val="Tahoma"/>
      <family val="2"/>
    </font>
    <font>
      <b/>
      <sz val="9"/>
      <color indexed="81"/>
      <name val="Tahoma"/>
      <family val="2"/>
    </font>
    <font>
      <sz val="11"/>
      <name val="Calibri"/>
      <family val="2"/>
      <scheme val="minor"/>
    </font>
    <font>
      <sz val="11"/>
      <color rgb="FF000000"/>
      <name val="Calibri"/>
      <family val="2"/>
      <scheme val="minor"/>
    </font>
    <font>
      <sz val="12"/>
      <color rgb="FF0000FF"/>
      <name val="Calibri"/>
      <family val="2"/>
      <scheme val="minor"/>
    </font>
    <font>
      <b/>
      <sz val="10"/>
      <color rgb="FF3333FF"/>
      <name val="Arial"/>
      <family val="2"/>
    </font>
    <font>
      <b/>
      <sz val="10"/>
      <color rgb="FF0000FF"/>
      <name val="Arial"/>
      <family val="2"/>
    </font>
    <font>
      <sz val="12"/>
      <name val="Calibri"/>
      <family val="2"/>
      <scheme val="minor"/>
    </font>
    <font>
      <b/>
      <sz val="11"/>
      <color rgb="FF000000"/>
      <name val="Calibri"/>
      <family val="2"/>
      <scheme val="minor"/>
    </font>
    <font>
      <b/>
      <u/>
      <sz val="10"/>
      <name val="Arial"/>
      <family val="2"/>
    </font>
    <font>
      <b/>
      <sz val="9"/>
      <name val="Arial"/>
      <family val="2"/>
    </font>
    <font>
      <b/>
      <i/>
      <sz val="12"/>
      <color rgb="FFFF0000"/>
      <name val="Calibri"/>
      <family val="2"/>
      <scheme val="minor"/>
    </font>
    <font>
      <i/>
      <sz val="12"/>
      <color rgb="FFFF0000"/>
      <name val="Calibri"/>
      <family val="2"/>
      <scheme val="minor"/>
    </font>
    <font>
      <b/>
      <sz val="14"/>
      <color rgb="FF0000FF"/>
      <name val="Calibri"/>
      <family val="2"/>
      <scheme val="minor"/>
    </font>
    <font>
      <b/>
      <sz val="12"/>
      <color rgb="FF0000FF"/>
      <name val="Arial"/>
      <family val="2"/>
    </font>
    <font>
      <b/>
      <sz val="12"/>
      <name val="Calibri"/>
      <family val="2"/>
      <scheme val="minor"/>
    </font>
    <font>
      <u/>
      <sz val="10"/>
      <color theme="10"/>
      <name val="Courier"/>
      <family val="3"/>
    </font>
    <font>
      <b/>
      <sz val="14"/>
      <color rgb="FF000000"/>
      <name val="Calibri"/>
      <family val="2"/>
      <scheme val="minor"/>
    </font>
    <font>
      <u/>
      <sz val="12"/>
      <color rgb="FF000000"/>
      <name val="Calibri"/>
      <family val="2"/>
      <scheme val="minor"/>
    </font>
    <font>
      <b/>
      <u/>
      <sz val="10"/>
      <color theme="10"/>
      <name val="Courier"/>
    </font>
    <font>
      <sz val="10"/>
      <name val="Courier"/>
      <family val="3"/>
    </font>
    <font>
      <sz val="11"/>
      <name val="Arial"/>
      <family val="2"/>
    </font>
    <font>
      <b/>
      <u/>
      <sz val="11"/>
      <name val="Arial"/>
      <family val="2"/>
    </font>
    <font>
      <b/>
      <sz val="11"/>
      <name val="Calibri"/>
      <family val="2"/>
      <scheme val="minor"/>
    </font>
    <font>
      <sz val="10"/>
      <name val="Calibri"/>
      <family val="2"/>
    </font>
    <font>
      <b/>
      <sz val="14"/>
      <name val="Calibri"/>
      <family val="2"/>
      <scheme val="minor"/>
    </font>
    <font>
      <sz val="9"/>
      <name val="Arial"/>
      <family val="2"/>
    </font>
    <font>
      <sz val="12"/>
      <name val="Arial"/>
      <family val="2"/>
    </font>
    <font>
      <sz val="8"/>
      <name val="Arial"/>
      <family val="2"/>
    </font>
    <font>
      <sz val="10"/>
      <color rgb="FF0000FF"/>
      <name val="Arial"/>
      <family val="2"/>
    </font>
    <font>
      <sz val="11"/>
      <color rgb="FF0000FF"/>
      <name val="Calibri"/>
      <family val="2"/>
      <scheme val="minor"/>
    </font>
    <font>
      <sz val="10"/>
      <color rgb="FF0000FF"/>
      <name val="Courier"/>
      <family val="3"/>
    </font>
    <font>
      <sz val="12"/>
      <color theme="1"/>
      <name val="Aptos Narrow"/>
      <family val="2"/>
    </font>
    <font>
      <u/>
      <sz val="12"/>
      <color theme="10"/>
      <name val="Aptos Narrow"/>
      <family val="2"/>
    </font>
    <font>
      <b/>
      <sz val="18"/>
      <color theme="1"/>
      <name val="Aptos Narrow"/>
      <family val="2"/>
    </font>
    <font>
      <sz val="12"/>
      <color rgb="FF000000"/>
      <name val="Aptos Narrow"/>
      <family val="2"/>
    </font>
    <font>
      <b/>
      <sz val="16"/>
      <color theme="1"/>
      <name val="Baskerville Old Face"/>
      <family val="1"/>
    </font>
    <font>
      <b/>
      <sz val="12"/>
      <color theme="1"/>
      <name val="Baskerville Old Face"/>
      <family val="1"/>
    </font>
    <font>
      <u/>
      <sz val="12"/>
      <color rgb="FF0000FF"/>
      <name val="Cambria"/>
      <family val="1"/>
      <scheme val="major"/>
    </font>
    <font>
      <sz val="12"/>
      <color rgb="FF0000FF"/>
      <name val="Aptos Narrow"/>
      <family val="2"/>
    </font>
    <font>
      <b/>
      <sz val="16"/>
      <color rgb="FFFF0000"/>
      <name val="Calibri"/>
      <family val="2"/>
      <scheme val="minor"/>
    </font>
    <font>
      <b/>
      <u/>
      <sz val="12"/>
      <color theme="10"/>
      <name val="Calibri"/>
      <family val="2"/>
      <scheme val="minor"/>
    </font>
    <font>
      <sz val="11"/>
      <color rgb="FF202022"/>
      <name val="Calibri"/>
      <family val="2"/>
      <scheme val="minor"/>
    </font>
    <font>
      <b/>
      <sz val="11"/>
      <color rgb="FF202022"/>
      <name val="Calibri"/>
      <family val="2"/>
      <scheme val="minor"/>
    </font>
    <font>
      <i/>
      <sz val="12"/>
      <color rgb="FF000000"/>
      <name val="Calibri"/>
      <family val="2"/>
      <scheme val="minor"/>
    </font>
    <font>
      <b/>
      <u/>
      <sz val="11"/>
      <color theme="10"/>
      <name val="Calibri"/>
      <family val="2"/>
      <scheme val="minor"/>
    </font>
    <font>
      <sz val="11"/>
      <color rgb="FFFF0000"/>
      <name val="Calibri"/>
      <family val="2"/>
      <scheme val="minor"/>
    </font>
    <font>
      <b/>
      <sz val="12"/>
      <color rgb="FFFF0000"/>
      <name val="Calibri"/>
      <family val="2"/>
      <scheme val="minor"/>
    </font>
    <font>
      <strike/>
      <sz val="12"/>
      <color rgb="FF000000"/>
      <name val="Calibri"/>
      <family val="2"/>
      <scheme val="minor"/>
    </font>
    <font>
      <sz val="14"/>
      <color rgb="FF0000FF"/>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theme="0" tint="-0.14999847407452621"/>
        <bgColor indexed="64"/>
      </patternFill>
    </fill>
    <fill>
      <patternFill patternType="solid">
        <fgColor rgb="FF369992"/>
        <bgColor indexed="64"/>
      </patternFill>
    </fill>
    <fill>
      <patternFill patternType="solid">
        <fgColor rgb="FFCC6C20"/>
        <bgColor indexed="64"/>
      </patternFill>
    </fill>
    <fill>
      <patternFill patternType="solid">
        <fgColor rgb="FFFFFFCC"/>
        <bgColor indexed="64"/>
      </patternFill>
    </fill>
    <fill>
      <patternFill patternType="solid">
        <fgColor rgb="FFFFFF99"/>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style="thin">
        <color indexed="64"/>
      </left>
      <right/>
      <top style="thin">
        <color rgb="FF000000"/>
      </top>
      <bottom style="thin">
        <color rgb="FF000000"/>
      </bottom>
      <diagonal/>
    </border>
    <border>
      <left/>
      <right/>
      <top/>
      <bottom style="thin">
        <color indexed="64"/>
      </bottom>
      <diagonal/>
    </border>
    <border>
      <left style="thin">
        <color indexed="64"/>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auto="1"/>
      </left>
      <right/>
      <top style="thin">
        <color auto="1"/>
      </top>
      <bottom/>
      <diagonal/>
    </border>
    <border>
      <left style="thin">
        <color indexed="64"/>
      </left>
      <right style="thin">
        <color indexed="64"/>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right style="medium">
        <color rgb="FF000000"/>
      </right>
      <top style="thin">
        <color rgb="FF000000"/>
      </top>
      <bottom style="thin">
        <color rgb="FF000000"/>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149">
    <xf numFmtId="0" fontId="0" fillId="0" borderId="0"/>
    <xf numFmtId="166" fontId="14" fillId="0" borderId="0" applyFont="0" applyFill="0" applyBorder="0" applyAlignment="0" applyProtection="0"/>
    <xf numFmtId="0" fontId="14" fillId="0" borderId="0" applyNumberFormat="0" applyFont="0" applyBorder="0" applyProtection="0"/>
    <xf numFmtId="0" fontId="14" fillId="0" borderId="0" applyNumberFormat="0" applyFont="0" applyBorder="0" applyProtection="0"/>
    <xf numFmtId="166" fontId="14" fillId="0" borderId="0" applyFont="0" applyFill="0" applyBorder="0" applyAlignment="0" applyProtection="0"/>
    <xf numFmtId="43" fontId="14" fillId="0" borderId="0" applyFont="0" applyFill="0" applyBorder="0" applyAlignment="0" applyProtection="0"/>
    <xf numFmtId="0" fontId="14" fillId="0" borderId="0"/>
    <xf numFmtId="0" fontId="13" fillId="0" borderId="0"/>
    <xf numFmtId="44" fontId="13" fillId="0" borderId="0" applyFont="0" applyFill="0" applyBorder="0" applyAlignment="0" applyProtection="0"/>
    <xf numFmtId="43" fontId="14" fillId="0" borderId="0" applyFont="0" applyFill="0" applyBorder="0" applyAlignment="0" applyProtection="0"/>
    <xf numFmtId="0" fontId="12" fillId="0" borderId="0"/>
    <xf numFmtId="44" fontId="12"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44" fontId="10"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14"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14" fillId="0" borderId="0"/>
    <xf numFmtId="43" fontId="14" fillId="0" borderId="0" applyFont="0" applyFill="0" applyBorder="0" applyAlignment="0" applyProtection="0"/>
    <xf numFmtId="166" fontId="14" fillId="0" borderId="0" applyFont="0" applyFill="0" applyBorder="0" applyAlignment="0" applyProtection="0"/>
    <xf numFmtId="9" fontId="14"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4" fontId="5" fillId="0" borderId="0" applyFont="0" applyFill="0" applyBorder="0" applyAlignment="0" applyProtection="0"/>
    <xf numFmtId="0" fontId="3"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3" fillId="0" borderId="0" applyFont="0" applyFill="0" applyBorder="0" applyAlignment="0" applyProtection="0"/>
    <xf numFmtId="0" fontId="2" fillId="0" borderId="0"/>
    <xf numFmtId="44" fontId="2" fillId="0" borderId="0" applyFont="0" applyFill="0" applyBorder="0" applyAlignment="0" applyProtection="0"/>
    <xf numFmtId="0" fontId="58" fillId="0" borderId="0" applyNumberFormat="0" applyFill="0" applyBorder="0" applyAlignment="0" applyProtection="0"/>
    <xf numFmtId="0" fontId="1" fillId="0" borderId="0"/>
  </cellStyleXfs>
  <cellXfs count="624">
    <xf numFmtId="0" fontId="0" fillId="0" borderId="0" xfId="0"/>
    <xf numFmtId="0" fontId="37" fillId="0" borderId="0" xfId="0" applyFont="1"/>
    <xf numFmtId="0" fontId="38" fillId="0" borderId="0" xfId="0" applyFont="1" applyAlignment="1">
      <alignment horizontal="right"/>
    </xf>
    <xf numFmtId="0" fontId="38" fillId="0" borderId="0" xfId="0" applyFont="1" applyAlignment="1">
      <alignment horizontal="center"/>
    </xf>
    <xf numFmtId="0" fontId="37" fillId="0" borderId="0" xfId="0" applyFont="1" applyAlignment="1">
      <alignment horizontal="right" indent="1"/>
    </xf>
    <xf numFmtId="0" fontId="46" fillId="0" borderId="0" xfId="0" applyFont="1" applyAlignment="1">
      <alignment horizontal="right" indent="1"/>
    </xf>
    <xf numFmtId="0" fontId="46" fillId="0" borderId="0" xfId="0" applyFont="1"/>
    <xf numFmtId="0" fontId="40" fillId="0" borderId="0" xfId="0" applyFont="1" applyAlignment="1">
      <alignment horizontal="center" vertical="center"/>
    </xf>
    <xf numFmtId="0" fontId="46" fillId="0" borderId="0" xfId="0" applyFont="1" applyAlignment="1">
      <alignment horizontal="center" vertical="center"/>
    </xf>
    <xf numFmtId="39" fontId="37" fillId="0" borderId="0" xfId="5" applyNumberFormat="1" applyFont="1"/>
    <xf numFmtId="0" fontId="38" fillId="0" borderId="0" xfId="0" applyFont="1" applyAlignment="1">
      <alignment vertical="top" wrapText="1"/>
    </xf>
    <xf numFmtId="0" fontId="40" fillId="0" borderId="0" xfId="0" applyFont="1" applyAlignment="1">
      <alignment vertical="top" wrapText="1"/>
    </xf>
    <xf numFmtId="0" fontId="37" fillId="0" borderId="0" xfId="0" applyFont="1" applyAlignment="1">
      <alignment vertical="top" wrapText="1"/>
    </xf>
    <xf numFmtId="39" fontId="44" fillId="0" borderId="0" xfId="5" applyNumberFormat="1" applyFont="1"/>
    <xf numFmtId="0" fontId="37" fillId="0" borderId="0" xfId="0" applyFont="1" applyAlignment="1">
      <alignment horizontal="center"/>
    </xf>
    <xf numFmtId="0" fontId="50" fillId="0" borderId="0" xfId="0" applyFont="1" applyAlignment="1">
      <alignment vertical="top" wrapText="1"/>
    </xf>
    <xf numFmtId="4" fontId="37" fillId="0" borderId="0" xfId="0" applyNumberFormat="1" applyFont="1"/>
    <xf numFmtId="4" fontId="49" fillId="0" borderId="0" xfId="5" applyNumberFormat="1" applyFont="1"/>
    <xf numFmtId="4" fontId="49" fillId="0" borderId="0" xfId="5" applyNumberFormat="1" applyFont="1" applyBorder="1"/>
    <xf numFmtId="4" fontId="37" fillId="0" borderId="0" xfId="5" applyNumberFormat="1" applyFont="1"/>
    <xf numFmtId="0" fontId="49" fillId="0" borderId="0" xfId="0" applyFont="1" applyAlignment="1">
      <alignment horizontal="right" indent="1"/>
    </xf>
    <xf numFmtId="39" fontId="37" fillId="0" borderId="0" xfId="5" applyNumberFormat="1" applyFont="1" applyFill="1"/>
    <xf numFmtId="173" fontId="37" fillId="0" borderId="0" xfId="0" applyNumberFormat="1" applyFont="1"/>
    <xf numFmtId="0" fontId="53" fillId="0" borderId="0" xfId="0" applyFont="1" applyAlignment="1">
      <alignment horizontal="center"/>
    </xf>
    <xf numFmtId="0" fontId="54" fillId="0" borderId="0" xfId="0" applyFont="1" applyAlignment="1">
      <alignment horizontal="center" vertical="center"/>
    </xf>
    <xf numFmtId="0" fontId="53" fillId="0" borderId="0" xfId="0" applyFont="1" applyAlignment="1">
      <alignment vertical="top" wrapText="1"/>
    </xf>
    <xf numFmtId="0" fontId="53" fillId="0" borderId="0" xfId="0" applyFont="1" applyAlignment="1">
      <alignment horizontal="center" vertical="center"/>
    </xf>
    <xf numFmtId="0" fontId="54" fillId="0" borderId="0" xfId="0" applyFont="1"/>
    <xf numFmtId="0" fontId="0" fillId="5" borderId="0" xfId="0" applyFill="1" applyProtection="1">
      <protection locked="0"/>
    </xf>
    <xf numFmtId="0" fontId="40" fillId="5" borderId="0" xfId="0" applyFont="1" applyFill="1" applyAlignment="1" applyProtection="1">
      <alignment horizontal="center" vertical="center"/>
      <protection locked="0"/>
    </xf>
    <xf numFmtId="0" fontId="0" fillId="0" borderId="0" xfId="0" applyProtection="1">
      <protection locked="0"/>
    </xf>
    <xf numFmtId="0" fontId="17" fillId="5" borderId="0" xfId="0" applyFont="1" applyFill="1" applyAlignment="1" applyProtection="1">
      <alignment vertical="center"/>
      <protection locked="0"/>
    </xf>
    <xf numFmtId="0" fontId="16" fillId="0" borderId="0" xfId="0" applyFont="1" applyAlignment="1" applyProtection="1">
      <alignment horizontal="center" vertical="center"/>
      <protection locked="0"/>
    </xf>
    <xf numFmtId="0" fontId="17" fillId="0" borderId="0" xfId="0" applyFont="1" applyAlignment="1" applyProtection="1">
      <alignment vertical="center"/>
      <protection locked="0"/>
    </xf>
    <xf numFmtId="0" fontId="37" fillId="0" borderId="0" xfId="0" applyFont="1" applyAlignment="1" applyProtection="1">
      <alignment horizontal="right"/>
      <protection locked="0"/>
    </xf>
    <xf numFmtId="0" fontId="45" fillId="0" borderId="0" xfId="0" applyFont="1" applyProtection="1">
      <protection locked="0"/>
    </xf>
    <xf numFmtId="0" fontId="49" fillId="0" borderId="0" xfId="0" applyFont="1" applyAlignment="1" applyProtection="1">
      <alignment vertical="center"/>
      <protection locked="0"/>
    </xf>
    <xf numFmtId="0" fontId="18" fillId="5" borderId="0" xfId="0" applyFont="1" applyFill="1" applyAlignment="1" applyProtection="1">
      <alignment vertical="center"/>
      <protection locked="0"/>
    </xf>
    <xf numFmtId="0" fontId="18" fillId="0" borderId="0" xfId="0" applyFont="1" applyAlignment="1" applyProtection="1">
      <alignment vertical="center"/>
      <protection locked="0"/>
    </xf>
    <xf numFmtId="0" fontId="15" fillId="0" borderId="0" xfId="0" applyFont="1" applyAlignment="1" applyProtection="1">
      <alignment vertical="center"/>
      <protection locked="0"/>
    </xf>
    <xf numFmtId="0" fontId="20" fillId="0" borderId="0" xfId="0" applyFont="1" applyAlignment="1" applyProtection="1">
      <alignment vertical="center"/>
      <protection locked="0"/>
    </xf>
    <xf numFmtId="0" fontId="20" fillId="0" borderId="0" xfId="0" applyFont="1" applyAlignment="1" applyProtection="1">
      <alignment horizontal="center" vertical="center"/>
      <protection locked="0"/>
    </xf>
    <xf numFmtId="164" fontId="0" fillId="0" borderId="0" xfId="0" applyNumberFormat="1" applyProtection="1">
      <protection locked="0"/>
    </xf>
    <xf numFmtId="164" fontId="15" fillId="0" borderId="0" xfId="0" applyNumberFormat="1" applyFont="1" applyAlignment="1" applyProtection="1">
      <alignment vertical="center"/>
      <protection locked="0"/>
    </xf>
    <xf numFmtId="0" fontId="30" fillId="0" borderId="1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15" fillId="0" borderId="0" xfId="0" applyFont="1" applyAlignment="1" applyProtection="1">
      <alignment vertical="center" wrapText="1"/>
      <protection locked="0"/>
    </xf>
    <xf numFmtId="0" fontId="15" fillId="5" borderId="0" xfId="0" applyFont="1" applyFill="1" applyAlignment="1" applyProtection="1">
      <alignment vertical="center"/>
      <protection locked="0"/>
    </xf>
    <xf numFmtId="0" fontId="0" fillId="0" borderId="0" xfId="0" applyAlignment="1" applyProtection="1">
      <alignment vertical="center"/>
      <protection locked="0"/>
    </xf>
    <xf numFmtId="0" fontId="41" fillId="5" borderId="0" xfId="0" applyFont="1" applyFill="1" applyAlignment="1" applyProtection="1">
      <alignment vertical="center"/>
      <protection locked="0"/>
    </xf>
    <xf numFmtId="164" fontId="20" fillId="0" borderId="0" xfId="0" applyNumberFormat="1" applyFont="1" applyAlignment="1" applyProtection="1">
      <alignment horizontal="center" vertical="center"/>
      <protection locked="0"/>
    </xf>
    <xf numFmtId="0" fontId="13" fillId="5" borderId="0" xfId="7" applyFill="1" applyProtection="1">
      <protection locked="0"/>
    </xf>
    <xf numFmtId="0" fontId="30" fillId="0" borderId="11"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6" fillId="5" borderId="0" xfId="75" applyFill="1" applyProtection="1">
      <protection locked="0"/>
    </xf>
    <xf numFmtId="0" fontId="15" fillId="0" borderId="21" xfId="0" applyFont="1" applyBorder="1" applyAlignment="1" applyProtection="1">
      <alignment horizontal="left" vertical="center" wrapText="1"/>
      <protection locked="0"/>
    </xf>
    <xf numFmtId="0" fontId="13" fillId="0" borderId="0" xfId="7" applyProtection="1">
      <protection locked="0"/>
    </xf>
    <xf numFmtId="0" fontId="34" fillId="0" borderId="0" xfId="7" applyFont="1" applyAlignment="1" applyProtection="1">
      <alignment horizontal="center"/>
      <protection locked="0"/>
    </xf>
    <xf numFmtId="0" fontId="33" fillId="0" borderId="1" xfId="7" applyFont="1" applyBorder="1" applyAlignment="1" applyProtection="1">
      <alignment horizontal="center" vertical="center" wrapText="1"/>
      <protection locked="0"/>
    </xf>
    <xf numFmtId="0" fontId="26" fillId="0" borderId="0" xfId="7" applyFont="1" applyAlignment="1" applyProtection="1">
      <alignment horizontal="center" vertical="center"/>
      <protection locked="0"/>
    </xf>
    <xf numFmtId="0" fontId="6" fillId="0" borderId="0" xfId="74" applyProtection="1">
      <protection locked="0"/>
    </xf>
    <xf numFmtId="0" fontId="30" fillId="0" borderId="10" xfId="71" applyFont="1" applyBorder="1" applyAlignment="1" applyProtection="1">
      <alignment vertical="center" wrapText="1"/>
      <protection locked="0"/>
    </xf>
    <xf numFmtId="0" fontId="0" fillId="5" borderId="0" xfId="0" applyFill="1" applyAlignment="1" applyProtection="1">
      <alignment vertical="center"/>
      <protection locked="0"/>
    </xf>
    <xf numFmtId="0" fontId="15" fillId="0" borderId="0" xfId="7" applyFont="1" applyAlignment="1" applyProtection="1">
      <alignment vertical="center"/>
      <protection locked="0"/>
    </xf>
    <xf numFmtId="0" fontId="25" fillId="0" borderId="0" xfId="7" applyFont="1" applyAlignment="1" applyProtection="1">
      <alignment vertical="center"/>
      <protection locked="0"/>
    </xf>
    <xf numFmtId="0" fontId="6" fillId="5" borderId="0" xfId="74" applyFill="1" applyProtection="1">
      <protection locked="0"/>
    </xf>
    <xf numFmtId="0" fontId="35" fillId="0" borderId="0" xfId="0" applyFont="1" applyAlignment="1" applyProtection="1">
      <alignment horizontal="left" wrapText="1"/>
      <protection locked="0"/>
    </xf>
    <xf numFmtId="164" fontId="13" fillId="0" borderId="0" xfId="7" applyNumberFormat="1" applyProtection="1">
      <protection locked="0"/>
    </xf>
    <xf numFmtId="0" fontId="30" fillId="0" borderId="0" xfId="7" applyFont="1" applyAlignment="1" applyProtection="1">
      <alignment horizontal="left" vertical="center" wrapText="1"/>
      <protection locked="0"/>
    </xf>
    <xf numFmtId="0" fontId="21" fillId="0" borderId="0" xfId="7" applyFont="1" applyAlignment="1" applyProtection="1">
      <alignment horizontal="left" vertical="center" wrapText="1"/>
      <protection locked="0"/>
    </xf>
    <xf numFmtId="0" fontId="6" fillId="5" borderId="0" xfId="71" applyFill="1" applyProtection="1">
      <protection locked="0"/>
    </xf>
    <xf numFmtId="0" fontId="6" fillId="0" borderId="0" xfId="71" applyProtection="1">
      <protection locked="0"/>
    </xf>
    <xf numFmtId="0" fontId="16" fillId="0" borderId="0" xfId="6" applyFont="1" applyAlignment="1" applyProtection="1">
      <alignment vertical="center"/>
      <protection locked="0"/>
    </xf>
    <xf numFmtId="0" fontId="15" fillId="0" borderId="0" xfId="6" applyFont="1" applyAlignment="1" applyProtection="1">
      <alignment vertical="center"/>
      <protection locked="0"/>
    </xf>
    <xf numFmtId="0" fontId="35" fillId="0" borderId="0" xfId="6" applyFont="1" applyAlignment="1" applyProtection="1">
      <alignment horizontal="left" wrapText="1"/>
      <protection locked="0"/>
    </xf>
    <xf numFmtId="0" fontId="15" fillId="0" borderId="0" xfId="71" applyFont="1" applyAlignment="1" applyProtection="1">
      <alignment vertical="center" wrapText="1"/>
      <protection locked="0"/>
    </xf>
    <xf numFmtId="0" fontId="15" fillId="0" borderId="0" xfId="71" applyFont="1" applyAlignment="1" applyProtection="1">
      <alignment vertical="center"/>
      <protection locked="0"/>
    </xf>
    <xf numFmtId="0" fontId="6" fillId="0" borderId="0" xfId="75" applyProtection="1">
      <protection locked="0"/>
    </xf>
    <xf numFmtId="0" fontId="33" fillId="0" borderId="3" xfId="74" applyFont="1" applyBorder="1" applyAlignment="1" applyProtection="1">
      <alignment horizontal="center" vertical="center" wrapText="1"/>
      <protection locked="0"/>
    </xf>
    <xf numFmtId="0" fontId="15" fillId="5" borderId="0" xfId="6" applyFont="1" applyFill="1" applyAlignment="1" applyProtection="1">
      <alignment vertical="center"/>
      <protection locked="0"/>
    </xf>
    <xf numFmtId="0" fontId="15" fillId="0" borderId="0" xfId="75" applyFont="1" applyAlignment="1" applyProtection="1">
      <alignment vertical="center"/>
      <protection locked="0"/>
    </xf>
    <xf numFmtId="0" fontId="20" fillId="0" borderId="0" xfId="0" applyFont="1" applyAlignment="1" applyProtection="1">
      <alignment horizontal="center" vertical="center" wrapText="1"/>
      <protection locked="0"/>
    </xf>
    <xf numFmtId="0" fontId="15" fillId="0" borderId="0" xfId="2" applyFont="1" applyAlignment="1" applyProtection="1">
      <alignment vertical="center"/>
      <protection locked="0"/>
    </xf>
    <xf numFmtId="0" fontId="16" fillId="0" borderId="0" xfId="0" applyFont="1" applyAlignment="1" applyProtection="1">
      <alignment vertical="center"/>
      <protection locked="0"/>
    </xf>
    <xf numFmtId="0" fontId="32" fillId="5" borderId="0" xfId="0" applyFont="1" applyFill="1" applyAlignment="1" applyProtection="1">
      <alignment vertical="center"/>
      <protection locked="0"/>
    </xf>
    <xf numFmtId="0" fontId="28" fillId="0" borderId="0" xfId="0" applyFont="1" applyAlignment="1" applyProtection="1">
      <alignment vertical="center"/>
      <protection locked="0"/>
    </xf>
    <xf numFmtId="0" fontId="32" fillId="0" borderId="0" xfId="0" applyFont="1" applyAlignment="1" applyProtection="1">
      <alignment vertical="center"/>
      <protection locked="0"/>
    </xf>
    <xf numFmtId="0" fontId="27" fillId="5" borderId="0" xfId="0" applyFont="1" applyFill="1" applyAlignment="1" applyProtection="1">
      <alignment vertical="center"/>
      <protection locked="0"/>
    </xf>
    <xf numFmtId="0" fontId="27"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16" fillId="0" borderId="0" xfId="2" applyFont="1" applyAlignment="1" applyProtection="1">
      <alignment vertical="center"/>
      <protection locked="0"/>
    </xf>
    <xf numFmtId="0" fontId="28" fillId="0" borderId="0" xfId="2" applyFont="1" applyAlignment="1" applyProtection="1">
      <alignment vertical="center"/>
      <protection locked="0"/>
    </xf>
    <xf numFmtId="0" fontId="19" fillId="0" borderId="0" xfId="0" applyFont="1" applyAlignment="1" applyProtection="1">
      <alignment horizontal="center" vertical="center"/>
      <protection locked="0"/>
    </xf>
    <xf numFmtId="0" fontId="24" fillId="5" borderId="0" xfId="0" applyFont="1" applyFill="1" applyAlignment="1" applyProtection="1">
      <alignment vertical="center"/>
      <protection locked="0"/>
    </xf>
    <xf numFmtId="0" fontId="24" fillId="0" borderId="0" xfId="0" applyFont="1" applyAlignment="1" applyProtection="1">
      <alignment vertical="center"/>
      <protection locked="0"/>
    </xf>
    <xf numFmtId="0" fontId="20" fillId="0" borderId="0" xfId="3" applyFont="1" applyAlignment="1" applyProtection="1">
      <alignment horizontal="center" vertical="center"/>
      <protection locked="0"/>
    </xf>
    <xf numFmtId="0" fontId="15" fillId="0" borderId="0" xfId="3" applyFont="1" applyAlignment="1" applyProtection="1">
      <alignment vertical="center"/>
      <protection locked="0"/>
    </xf>
    <xf numFmtId="0" fontId="16" fillId="0" borderId="0" xfId="3" applyFont="1" applyAlignment="1" applyProtection="1">
      <alignment horizontal="center" vertical="center"/>
      <protection locked="0"/>
    </xf>
    <xf numFmtId="0" fontId="22" fillId="0" borderId="0" xfId="3" applyFont="1" applyAlignment="1" applyProtection="1">
      <alignment vertical="center"/>
      <protection locked="0"/>
    </xf>
    <xf numFmtId="0" fontId="22" fillId="0" borderId="0" xfId="0" applyFont="1" applyAlignment="1" applyProtection="1">
      <alignment vertical="center"/>
      <protection locked="0"/>
    </xf>
    <xf numFmtId="0" fontId="20" fillId="0" borderId="0" xfId="2" applyFont="1" applyAlignment="1" applyProtection="1">
      <alignment horizontal="center" vertical="center"/>
      <protection locked="0"/>
    </xf>
    <xf numFmtId="0" fontId="34" fillId="0" borderId="0" xfId="0" applyFont="1" applyAlignment="1" applyProtection="1">
      <alignment vertical="center"/>
      <protection locked="0"/>
    </xf>
    <xf numFmtId="0" fontId="33" fillId="0" borderId="4" xfId="0" applyFont="1" applyBorder="1" applyAlignment="1" applyProtection="1">
      <alignment horizontal="center" vertical="center" wrapText="1"/>
      <protection locked="0"/>
    </xf>
    <xf numFmtId="9" fontId="20" fillId="0" borderId="0" xfId="36" applyFont="1" applyFill="1" applyAlignment="1" applyProtection="1">
      <alignment horizontal="center" vertical="center"/>
      <protection locked="0"/>
    </xf>
    <xf numFmtId="0" fontId="34" fillId="0" borderId="0" xfId="0" applyFont="1" applyProtection="1">
      <protection locked="0"/>
    </xf>
    <xf numFmtId="0" fontId="39" fillId="0" borderId="0" xfId="0" applyFont="1" applyAlignment="1" applyProtection="1">
      <alignment horizontal="center"/>
      <protection locked="0"/>
    </xf>
    <xf numFmtId="9" fontId="20" fillId="0" borderId="0" xfId="36" applyFont="1" applyAlignment="1" applyProtection="1">
      <alignment horizontal="center" vertical="center"/>
      <protection locked="0"/>
    </xf>
    <xf numFmtId="9" fontId="15" fillId="0" borderId="0" xfId="36" applyFont="1" applyAlignment="1" applyProtection="1">
      <alignment vertical="center"/>
      <protection locked="0"/>
    </xf>
    <xf numFmtId="0" fontId="21" fillId="0" borderId="0" xfId="0" applyFont="1" applyAlignment="1" applyProtection="1">
      <alignment vertical="center"/>
      <protection locked="0"/>
    </xf>
    <xf numFmtId="9" fontId="15" fillId="0" borderId="0" xfId="0" applyNumberFormat="1" applyFont="1" applyAlignment="1" applyProtection="1">
      <alignment vertical="center"/>
      <protection locked="0"/>
    </xf>
    <xf numFmtId="0" fontId="31" fillId="5" borderId="0" xfId="0" applyFont="1" applyFill="1" applyAlignment="1" applyProtection="1">
      <alignment vertical="center"/>
      <protection locked="0"/>
    </xf>
    <xf numFmtId="0" fontId="31" fillId="0" borderId="0" xfId="0" applyFont="1" applyAlignment="1" applyProtection="1">
      <alignment vertical="center"/>
      <protection locked="0"/>
    </xf>
    <xf numFmtId="14" fontId="15" fillId="0" borderId="0" xfId="0" applyNumberFormat="1" applyFont="1" applyAlignment="1" applyProtection="1">
      <alignment vertical="center"/>
      <protection locked="0"/>
    </xf>
    <xf numFmtId="0" fontId="48" fillId="5" borderId="0" xfId="0" applyFont="1" applyFill="1" applyAlignment="1" applyProtection="1">
      <alignment horizontal="center" vertical="center"/>
      <protection locked="0"/>
    </xf>
    <xf numFmtId="0" fontId="11" fillId="5" borderId="0" xfId="12" applyFill="1" applyProtection="1">
      <protection locked="0"/>
    </xf>
    <xf numFmtId="0" fontId="11" fillId="0" borderId="0" xfId="12" applyProtection="1">
      <protection locked="0"/>
    </xf>
    <xf numFmtId="0" fontId="28" fillId="0" borderId="0" xfId="6" applyFont="1" applyAlignment="1" applyProtection="1">
      <alignment vertical="center"/>
      <protection locked="0"/>
    </xf>
    <xf numFmtId="0" fontId="20" fillId="0" borderId="0" xfId="12" applyFont="1" applyAlignment="1" applyProtection="1">
      <alignment horizontal="center" vertical="center"/>
      <protection locked="0"/>
    </xf>
    <xf numFmtId="0" fontId="15" fillId="0" borderId="0" xfId="12" applyFont="1" applyAlignment="1" applyProtection="1">
      <alignment vertical="center"/>
      <protection locked="0"/>
    </xf>
    <xf numFmtId="0" fontId="36" fillId="0" borderId="0" xfId="0" applyFont="1" applyAlignment="1" applyProtection="1">
      <alignment horizontal="left" vertical="center" indent="1"/>
      <protection locked="0"/>
    </xf>
    <xf numFmtId="0" fontId="25" fillId="0" borderId="0" xfId="12" applyFont="1" applyAlignment="1" applyProtection="1">
      <alignment vertical="center"/>
      <protection locked="0"/>
    </xf>
    <xf numFmtId="172" fontId="20" fillId="0" borderId="0" xfId="36" applyNumberFormat="1" applyFont="1" applyFill="1" applyBorder="1" applyAlignment="1" applyProtection="1">
      <alignment horizontal="center" vertical="center"/>
      <protection locked="0"/>
    </xf>
    <xf numFmtId="0" fontId="2" fillId="5" borderId="0" xfId="145" applyFill="1" applyProtection="1">
      <protection locked="0"/>
    </xf>
    <xf numFmtId="0" fontId="2" fillId="0" borderId="0" xfId="145" applyProtection="1">
      <protection locked="0"/>
    </xf>
    <xf numFmtId="0" fontId="20" fillId="0" borderId="0" xfId="145" applyFont="1" applyAlignment="1" applyProtection="1">
      <alignment horizontal="center" vertical="center"/>
      <protection locked="0"/>
    </xf>
    <xf numFmtId="0" fontId="15" fillId="0" borderId="0" xfId="145" applyFont="1" applyAlignment="1" applyProtection="1">
      <alignment vertical="center"/>
      <protection locked="0"/>
    </xf>
    <xf numFmtId="0" fontId="14" fillId="0" borderId="0" xfId="6" applyProtection="1">
      <protection locked="0"/>
    </xf>
    <xf numFmtId="0" fontId="14" fillId="0" borderId="0" xfId="6" applyAlignment="1" applyProtection="1">
      <alignment vertical="center"/>
      <protection locked="0"/>
    </xf>
    <xf numFmtId="0" fontId="15" fillId="0" borderId="0" xfId="6" applyFont="1" applyAlignment="1" applyProtection="1">
      <alignment vertical="center" wrapText="1"/>
      <protection locked="0"/>
    </xf>
    <xf numFmtId="0" fontId="5" fillId="0" borderId="0" xfId="76" applyProtection="1">
      <protection locked="0"/>
    </xf>
    <xf numFmtId="0" fontId="5" fillId="5" borderId="0" xfId="76" applyFill="1" applyProtection="1">
      <protection locked="0"/>
    </xf>
    <xf numFmtId="0" fontId="20" fillId="0" borderId="0" xfId="76" applyFont="1" applyAlignment="1" applyProtection="1">
      <alignment horizontal="center" vertical="center"/>
      <protection locked="0"/>
    </xf>
    <xf numFmtId="43" fontId="20" fillId="0" borderId="0" xfId="5" applyFont="1" applyAlignment="1" applyProtection="1">
      <alignment horizontal="center" vertical="center"/>
      <protection locked="0"/>
    </xf>
    <xf numFmtId="0" fontId="15" fillId="0" borderId="0" xfId="76" applyFont="1" applyAlignment="1" applyProtection="1">
      <alignment vertical="center"/>
      <protection locked="0"/>
    </xf>
    <xf numFmtId="43" fontId="15" fillId="0" borderId="0" xfId="5" applyFont="1" applyAlignment="1" applyProtection="1">
      <alignment vertical="center"/>
      <protection locked="0"/>
    </xf>
    <xf numFmtId="0" fontId="15" fillId="0" borderId="16" xfId="6" applyFont="1" applyBorder="1" applyAlignment="1" applyProtection="1">
      <alignment vertical="center" wrapText="1"/>
      <protection locked="0"/>
    </xf>
    <xf numFmtId="44" fontId="15" fillId="0" borderId="0" xfId="14" applyFont="1" applyFill="1" applyAlignment="1" applyProtection="1">
      <alignment horizontal="center" vertical="center"/>
      <protection locked="0"/>
    </xf>
    <xf numFmtId="166" fontId="15" fillId="0" borderId="0" xfId="4" applyFont="1" applyFill="1" applyAlignment="1" applyProtection="1">
      <alignment vertical="center"/>
      <protection locked="0"/>
    </xf>
    <xf numFmtId="166" fontId="15" fillId="0" borderId="0" xfId="12" applyNumberFormat="1" applyFont="1" applyAlignment="1" applyProtection="1">
      <alignment vertical="center"/>
      <protection locked="0"/>
    </xf>
    <xf numFmtId="164" fontId="6" fillId="0" borderId="0" xfId="71" applyNumberFormat="1" applyProtection="1">
      <protection locked="0"/>
    </xf>
    <xf numFmtId="5" fontId="33" fillId="0" borderId="0" xfId="72" applyNumberFormat="1" applyFont="1" applyFill="1" applyBorder="1" applyAlignment="1" applyProtection="1">
      <alignment horizontal="center" vertical="center" wrapText="1"/>
      <protection locked="0"/>
    </xf>
    <xf numFmtId="0" fontId="15" fillId="0" borderId="0" xfId="71" applyFont="1" applyAlignment="1" applyProtection="1">
      <alignment horizontal="left" vertical="center" wrapText="1"/>
      <protection locked="0"/>
    </xf>
    <xf numFmtId="0" fontId="0" fillId="0" borderId="18" xfId="0" applyBorder="1" applyProtection="1">
      <protection locked="0"/>
    </xf>
    <xf numFmtId="43" fontId="0" fillId="0" borderId="0" xfId="5" applyFont="1" applyProtection="1">
      <protection locked="0"/>
    </xf>
    <xf numFmtId="43" fontId="0" fillId="0" borderId="0" xfId="0" applyNumberFormat="1" applyProtection="1">
      <protection locked="0"/>
    </xf>
    <xf numFmtId="0" fontId="0" fillId="0" borderId="16" xfId="0" applyBorder="1" applyProtection="1">
      <protection locked="0"/>
    </xf>
    <xf numFmtId="0" fontId="33" fillId="0" borderId="1" xfId="0" applyFont="1" applyBorder="1" applyAlignment="1" applyProtection="1">
      <alignment horizontal="center" vertical="center"/>
      <protection locked="0"/>
    </xf>
    <xf numFmtId="171" fontId="20" fillId="0" borderId="0" xfId="1" applyNumberFormat="1" applyFont="1" applyFill="1" applyBorder="1" applyAlignment="1" applyProtection="1">
      <alignment horizontal="center" vertical="center"/>
      <protection locked="0"/>
    </xf>
    <xf numFmtId="0" fontId="0" fillId="0" borderId="0" xfId="0" applyAlignment="1" applyProtection="1">
      <alignment vertical="center" wrapText="1"/>
      <protection locked="0"/>
    </xf>
    <xf numFmtId="0" fontId="47" fillId="5" borderId="0" xfId="0" applyFont="1" applyFill="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28" fillId="0" borderId="0" xfId="0" applyFont="1" applyAlignment="1" applyProtection="1">
      <alignment horizontal="center" vertical="center"/>
      <protection locked="0"/>
    </xf>
    <xf numFmtId="0" fontId="40" fillId="5" borderId="0" xfId="0" applyFont="1" applyFill="1" applyAlignment="1">
      <alignment vertical="center"/>
    </xf>
    <xf numFmtId="0" fontId="0" fillId="5" borderId="0" xfId="0" applyFill="1"/>
    <xf numFmtId="0" fontId="17" fillId="5" borderId="0" xfId="0" applyFont="1" applyFill="1" applyAlignment="1">
      <alignment vertical="center"/>
    </xf>
    <xf numFmtId="0" fontId="18" fillId="5" borderId="0" xfId="0" applyFont="1" applyFill="1" applyAlignment="1">
      <alignment vertical="center"/>
    </xf>
    <xf numFmtId="0" fontId="40" fillId="5" borderId="0" xfId="0" applyFont="1" applyFill="1" applyAlignment="1">
      <alignment horizontal="center" vertical="center"/>
    </xf>
    <xf numFmtId="0" fontId="15" fillId="5" borderId="0" xfId="0" applyFont="1" applyFill="1" applyAlignment="1">
      <alignment vertical="center"/>
    </xf>
    <xf numFmtId="169" fontId="33" fillId="0" borderId="1" xfId="0" applyNumberFormat="1" applyFont="1" applyBorder="1" applyAlignment="1">
      <alignment horizontal="center" vertical="center"/>
    </xf>
    <xf numFmtId="0" fontId="55" fillId="0" borderId="0" xfId="0" applyFont="1" applyProtection="1">
      <protection locked="0"/>
    </xf>
    <xf numFmtId="168" fontId="33" fillId="0" borderId="1" xfId="1" applyNumberFormat="1" applyFont="1" applyFill="1" applyBorder="1" applyAlignment="1" applyProtection="1">
      <alignment horizontal="center" vertical="center"/>
    </xf>
    <xf numFmtId="0" fontId="55" fillId="0" borderId="0" xfId="0" applyFont="1" applyAlignment="1" applyProtection="1">
      <alignment vertical="center"/>
      <protection locked="0"/>
    </xf>
    <xf numFmtId="169" fontId="33" fillId="0" borderId="14" xfId="0" applyNumberFormat="1" applyFont="1" applyBorder="1" applyAlignment="1">
      <alignment horizontal="center" vertical="center"/>
    </xf>
    <xf numFmtId="168" fontId="33" fillId="0" borderId="28" xfId="1" applyNumberFormat="1" applyFont="1" applyFill="1" applyBorder="1" applyAlignment="1" applyProtection="1">
      <alignment horizontal="center" vertical="center"/>
    </xf>
    <xf numFmtId="168" fontId="33" fillId="0" borderId="28" xfId="1" applyNumberFormat="1" applyFont="1" applyBorder="1" applyAlignment="1" applyProtection="1">
      <alignment horizontal="center" vertical="center"/>
    </xf>
    <xf numFmtId="170" fontId="33" fillId="3" borderId="10" xfId="0" applyNumberFormat="1" applyFont="1" applyFill="1" applyBorder="1" applyAlignment="1">
      <alignment horizontal="center" vertical="center"/>
    </xf>
    <xf numFmtId="168" fontId="33" fillId="0" borderId="1" xfId="4" applyNumberFormat="1" applyFont="1" applyBorder="1" applyAlignment="1" applyProtection="1">
      <alignment horizontal="center" vertical="center"/>
    </xf>
    <xf numFmtId="0" fontId="55" fillId="0" borderId="0" xfId="0" applyFont="1" applyAlignment="1" applyProtection="1">
      <alignment horizontal="left" vertical="center"/>
      <protection locked="0"/>
    </xf>
    <xf numFmtId="0" fontId="55" fillId="0" borderId="0" xfId="7" applyFont="1" applyAlignment="1" applyProtection="1">
      <alignment horizontal="left" vertical="center"/>
      <protection locked="0"/>
    </xf>
    <xf numFmtId="0" fontId="55" fillId="0" borderId="0" xfId="74" applyFont="1" applyAlignment="1" applyProtection="1">
      <alignment horizontal="left" vertical="center"/>
      <protection locked="0"/>
    </xf>
    <xf numFmtId="0" fontId="55" fillId="0" borderId="0" xfId="3" applyFont="1" applyAlignment="1" applyProtection="1">
      <alignment horizontal="left" vertical="center"/>
      <protection locked="0"/>
    </xf>
    <xf numFmtId="0" fontId="55" fillId="0" borderId="0" xfId="2" applyFont="1" applyAlignment="1" applyProtection="1">
      <alignment horizontal="left" vertical="center"/>
      <protection locked="0"/>
    </xf>
    <xf numFmtId="0" fontId="55" fillId="0" borderId="0" xfId="12" applyFont="1" applyAlignment="1" applyProtection="1">
      <alignment horizontal="left" vertical="center"/>
      <protection locked="0"/>
    </xf>
    <xf numFmtId="0" fontId="55" fillId="0" borderId="0" xfId="145" applyFont="1" applyAlignment="1" applyProtection="1">
      <alignment horizontal="left" vertical="center"/>
      <protection locked="0"/>
    </xf>
    <xf numFmtId="0" fontId="55" fillId="0" borderId="0" xfId="76" applyFont="1" applyAlignment="1" applyProtection="1">
      <alignment horizontal="left" vertical="center"/>
      <protection locked="0"/>
    </xf>
    <xf numFmtId="0" fontId="33" fillId="0" borderId="1" xfId="0" applyFont="1" applyBorder="1" applyAlignment="1">
      <alignment horizontal="center" vertical="center" wrapText="1"/>
    </xf>
    <xf numFmtId="170" fontId="33" fillId="0" borderId="24" xfId="0" applyNumberFormat="1" applyFont="1" applyBorder="1" applyAlignment="1">
      <alignment horizontal="center" vertical="center"/>
    </xf>
    <xf numFmtId="40" fontId="33" fillId="0" borderId="32" xfId="13" applyNumberFormat="1" applyFont="1" applyFill="1" applyBorder="1" applyAlignment="1" applyProtection="1">
      <alignment horizontal="center" vertical="center"/>
    </xf>
    <xf numFmtId="169" fontId="33" fillId="0" borderId="1" xfId="6" applyNumberFormat="1" applyFont="1" applyBorder="1" applyAlignment="1">
      <alignment horizontal="center" vertical="center"/>
    </xf>
    <xf numFmtId="40" fontId="33" fillId="0" borderId="32" xfId="14" applyNumberFormat="1" applyFont="1" applyFill="1" applyBorder="1" applyAlignment="1" applyProtection="1">
      <alignment horizontal="center" vertical="center"/>
    </xf>
    <xf numFmtId="169" fontId="33" fillId="0" borderId="10" xfId="1" applyNumberFormat="1" applyFont="1" applyBorder="1" applyAlignment="1" applyProtection="1">
      <alignment horizontal="center" vertical="center"/>
    </xf>
    <xf numFmtId="169" fontId="33" fillId="0" borderId="10" xfId="0" applyNumberFormat="1" applyFont="1" applyBorder="1" applyAlignment="1">
      <alignment horizontal="center" vertical="center"/>
    </xf>
    <xf numFmtId="168" fontId="33" fillId="0" borderId="10" xfId="1" applyNumberFormat="1" applyFont="1" applyBorder="1" applyAlignment="1" applyProtection="1">
      <alignment horizontal="center" vertical="center"/>
    </xf>
    <xf numFmtId="170" fontId="33" fillId="0" borderId="10" xfId="0" applyNumberFormat="1" applyFont="1" applyBorder="1" applyAlignment="1">
      <alignment horizontal="center" vertical="center"/>
    </xf>
    <xf numFmtId="164" fontId="33" fillId="0" borderId="1" xfId="0" applyNumberFormat="1" applyFont="1" applyBorder="1" applyAlignment="1">
      <alignment horizontal="center" vertical="center"/>
    </xf>
    <xf numFmtId="168" fontId="33" fillId="0" borderId="1" xfId="1" applyNumberFormat="1" applyFont="1" applyBorder="1" applyAlignment="1" applyProtection="1">
      <alignment horizontal="center" vertical="center"/>
    </xf>
    <xf numFmtId="170" fontId="51" fillId="0" borderId="21" xfId="0" applyNumberFormat="1" applyFont="1" applyBorder="1" applyAlignment="1">
      <alignment horizontal="center" vertical="center"/>
    </xf>
    <xf numFmtId="165" fontId="33" fillId="0" borderId="14" xfId="0" applyNumberFormat="1" applyFont="1" applyBorder="1" applyAlignment="1">
      <alignment horizontal="center" vertical="center"/>
    </xf>
    <xf numFmtId="169" fontId="33" fillId="0" borderId="1" xfId="3" applyNumberFormat="1" applyFont="1" applyBorder="1" applyAlignment="1" applyProtection="1">
      <alignment horizontal="center" vertical="center"/>
    </xf>
    <xf numFmtId="170" fontId="33" fillId="0" borderId="21" xfId="0" applyNumberFormat="1" applyFont="1" applyBorder="1" applyAlignment="1">
      <alignment horizontal="center" vertical="center"/>
    </xf>
    <xf numFmtId="43" fontId="0" fillId="0" borderId="0" xfId="5" applyFont="1" applyAlignment="1" applyProtection="1">
      <alignment vertical="center"/>
      <protection locked="0"/>
    </xf>
    <xf numFmtId="0" fontId="33" fillId="0" borderId="1" xfId="74" applyFont="1" applyBorder="1" applyAlignment="1">
      <alignment horizontal="center" vertical="center" wrapText="1"/>
    </xf>
    <xf numFmtId="0" fontId="52" fillId="0" borderId="1" xfId="7" applyFont="1" applyBorder="1" applyAlignment="1">
      <alignment horizontal="center" vertical="center" wrapText="1"/>
    </xf>
    <xf numFmtId="0" fontId="46" fillId="0" borderId="0" xfId="0" applyFont="1" applyAlignment="1">
      <alignment wrapText="1"/>
    </xf>
    <xf numFmtId="0" fontId="37" fillId="2" borderId="0" xfId="0" applyFont="1" applyFill="1"/>
    <xf numFmtId="0" fontId="37" fillId="2" borderId="0" xfId="0" applyFont="1" applyFill="1" applyAlignment="1">
      <alignment horizontal="center"/>
    </xf>
    <xf numFmtId="173" fontId="57" fillId="4" borderId="10" xfId="0" applyNumberFormat="1" applyFont="1" applyFill="1" applyBorder="1" applyAlignment="1">
      <alignment horizontal="center"/>
    </xf>
    <xf numFmtId="0" fontId="38" fillId="0" borderId="0" xfId="0" applyFont="1"/>
    <xf numFmtId="0" fontId="37" fillId="0" borderId="0" xfId="0" quotePrefix="1" applyFont="1"/>
    <xf numFmtId="0" fontId="59" fillId="0" borderId="0" xfId="0" applyFont="1"/>
    <xf numFmtId="0" fontId="40" fillId="0" borderId="0" xfId="0" applyFont="1"/>
    <xf numFmtId="0" fontId="61" fillId="0" borderId="0" xfId="147" applyFont="1"/>
    <xf numFmtId="0" fontId="33" fillId="0" borderId="0" xfId="0" applyFont="1" applyAlignment="1" applyProtection="1">
      <alignment horizontal="center" vertical="center"/>
      <protection locked="0"/>
    </xf>
    <xf numFmtId="0" fontId="62" fillId="0" borderId="0" xfId="0" applyFont="1" applyProtection="1">
      <protection locked="0"/>
    </xf>
    <xf numFmtId="0" fontId="39" fillId="0" borderId="0" xfId="0" applyFont="1" applyAlignment="1" applyProtection="1">
      <alignment horizontal="center" vertical="center"/>
      <protection locked="0"/>
    </xf>
    <xf numFmtId="0" fontId="63" fillId="0" borderId="0" xfId="0" applyFont="1" applyAlignment="1" applyProtection="1">
      <alignment vertical="center"/>
      <protection locked="0"/>
    </xf>
    <xf numFmtId="0" fontId="64" fillId="0" borderId="0" xfId="0" applyFont="1" applyAlignment="1" applyProtection="1">
      <alignment vertical="center"/>
      <protection locked="0"/>
    </xf>
    <xf numFmtId="0" fontId="30" fillId="0" borderId="0" xfId="0" applyFont="1" applyAlignment="1" applyProtection="1">
      <alignment vertical="center"/>
      <protection locked="0"/>
    </xf>
    <xf numFmtId="0" fontId="33" fillId="0" borderId="0" xfId="0" applyFont="1" applyAlignment="1" applyProtection="1">
      <alignment vertical="center"/>
      <protection locked="0"/>
    </xf>
    <xf numFmtId="0" fontId="30" fillId="0" borderId="2" xfId="0" applyFont="1" applyBorder="1" applyAlignment="1" applyProtection="1">
      <alignment vertical="center" wrapText="1"/>
      <protection locked="0"/>
    </xf>
    <xf numFmtId="0" fontId="30" fillId="0" borderId="2" xfId="0" applyFont="1" applyBorder="1" applyAlignment="1" applyProtection="1">
      <alignment vertical="center"/>
      <protection locked="0"/>
    </xf>
    <xf numFmtId="164" fontId="30" fillId="0" borderId="0" xfId="0" applyNumberFormat="1" applyFont="1" applyAlignment="1" applyProtection="1">
      <alignment vertical="center"/>
      <protection locked="0"/>
    </xf>
    <xf numFmtId="0" fontId="30" fillId="0" borderId="6" xfId="0" applyFont="1" applyBorder="1" applyAlignment="1" applyProtection="1">
      <alignment vertical="center" wrapText="1"/>
      <protection locked="0"/>
    </xf>
    <xf numFmtId="0" fontId="33" fillId="0" borderId="9" xfId="0" applyFont="1" applyBorder="1" applyAlignment="1" applyProtection="1">
      <alignment horizontal="left" vertical="center"/>
      <protection locked="0"/>
    </xf>
    <xf numFmtId="168" fontId="51" fillId="0" borderId="9" xfId="0" applyNumberFormat="1" applyFont="1" applyBorder="1" applyAlignment="1">
      <alignment horizontal="center" vertical="center"/>
    </xf>
    <xf numFmtId="164" fontId="30" fillId="0" borderId="0" xfId="0" applyNumberFormat="1" applyFont="1" applyAlignment="1" applyProtection="1">
      <alignment horizontal="center" vertical="center"/>
      <protection locked="0"/>
    </xf>
    <xf numFmtId="0" fontId="30" fillId="0" borderId="10" xfId="0" applyFont="1" applyBorder="1" applyAlignment="1" applyProtection="1">
      <alignment vertical="center"/>
      <protection locked="0"/>
    </xf>
    <xf numFmtId="171" fontId="33" fillId="0" borderId="1" xfId="1" applyNumberFormat="1" applyFont="1" applyFill="1" applyBorder="1" applyAlignment="1" applyProtection="1">
      <alignment horizontal="center" vertical="center"/>
    </xf>
    <xf numFmtId="0" fontId="30" fillId="0" borderId="0" xfId="0" applyFont="1" applyAlignment="1" applyProtection="1">
      <alignment vertical="center" wrapText="1"/>
      <protection locked="0"/>
    </xf>
    <xf numFmtId="0" fontId="30" fillId="0" borderId="1" xfId="0" applyFont="1" applyBorder="1" applyAlignment="1" applyProtection="1">
      <alignment vertical="center" wrapText="1"/>
      <protection locked="0"/>
    </xf>
    <xf numFmtId="0" fontId="30" fillId="0" borderId="1" xfId="0" applyFont="1" applyBorder="1" applyAlignment="1" applyProtection="1">
      <alignment vertical="center"/>
      <protection locked="0"/>
    </xf>
    <xf numFmtId="0" fontId="33" fillId="0" borderId="0" xfId="0" applyFont="1" applyAlignment="1" applyProtection="1">
      <alignment horizontal="left" vertical="center"/>
      <protection locked="0"/>
    </xf>
    <xf numFmtId="169" fontId="51" fillId="0" borderId="9" xfId="0" applyNumberFormat="1" applyFont="1" applyBorder="1" applyAlignment="1">
      <alignment horizontal="center" vertical="center"/>
    </xf>
    <xf numFmtId="169" fontId="30" fillId="0" borderId="8" xfId="0" applyNumberFormat="1" applyFont="1" applyBorder="1" applyAlignment="1" applyProtection="1">
      <alignment vertical="center"/>
      <protection locked="0"/>
    </xf>
    <xf numFmtId="169" fontId="30" fillId="0" borderId="0" xfId="0" applyNumberFormat="1" applyFont="1" applyAlignment="1" applyProtection="1">
      <alignment horizontal="center" vertical="center"/>
      <protection locked="0"/>
    </xf>
    <xf numFmtId="171" fontId="33" fillId="0" borderId="5" xfId="1" applyNumberFormat="1" applyFont="1" applyFill="1" applyBorder="1" applyAlignment="1" applyProtection="1">
      <alignment horizontal="center" vertical="center"/>
    </xf>
    <xf numFmtId="169" fontId="30" fillId="0" borderId="0" xfId="1" applyNumberFormat="1" applyFont="1" applyBorder="1" applyAlignment="1" applyProtection="1">
      <alignment horizontal="center" vertical="center"/>
      <protection locked="0"/>
    </xf>
    <xf numFmtId="169" fontId="33" fillId="0" borderId="0" xfId="0" applyNumberFormat="1" applyFont="1" applyAlignment="1" applyProtection="1">
      <alignment horizontal="center" vertical="center"/>
      <protection locked="0"/>
    </xf>
    <xf numFmtId="0" fontId="30" fillId="0" borderId="35" xfId="0" applyFont="1" applyBorder="1" applyAlignment="1" applyProtection="1">
      <alignment vertical="center" wrapText="1"/>
      <protection locked="0"/>
    </xf>
    <xf numFmtId="164" fontId="30" fillId="0" borderId="10" xfId="1" applyNumberFormat="1" applyFont="1" applyFill="1" applyBorder="1" applyAlignment="1" applyProtection="1">
      <alignment vertical="center" wrapText="1"/>
      <protection locked="0"/>
    </xf>
    <xf numFmtId="0" fontId="30" fillId="0" borderId="10" xfId="0" applyFont="1" applyBorder="1" applyAlignment="1" applyProtection="1">
      <alignment vertical="center" wrapText="1"/>
      <protection locked="0"/>
    </xf>
    <xf numFmtId="9" fontId="33" fillId="0" borderId="10" xfId="36" applyFont="1" applyBorder="1" applyAlignment="1" applyProtection="1">
      <alignment horizontal="center" vertical="center"/>
    </xf>
    <xf numFmtId="164" fontId="30" fillId="0" borderId="0" xfId="1" applyNumberFormat="1" applyFont="1" applyFill="1" applyBorder="1" applyAlignment="1" applyProtection="1">
      <alignment vertical="center" wrapText="1"/>
      <protection locked="0"/>
    </xf>
    <xf numFmtId="0" fontId="30" fillId="0" borderId="14" xfId="0" applyFont="1" applyBorder="1" applyAlignment="1" applyProtection="1">
      <alignment vertical="center"/>
      <protection locked="0"/>
    </xf>
    <xf numFmtId="169" fontId="33" fillId="0" borderId="3" xfId="0" applyNumberFormat="1" applyFont="1" applyBorder="1" applyAlignment="1">
      <alignment horizontal="center" vertical="center"/>
    </xf>
    <xf numFmtId="0" fontId="30" fillId="0" borderId="21" xfId="0" applyFont="1" applyBorder="1" applyAlignment="1" applyProtection="1">
      <alignment horizontal="left" vertical="center" wrapText="1"/>
      <protection locked="0"/>
    </xf>
    <xf numFmtId="0" fontId="30" fillId="0" borderId="17" xfId="0" applyFont="1" applyBorder="1" applyAlignment="1" applyProtection="1">
      <alignment vertical="center"/>
      <protection locked="0"/>
    </xf>
    <xf numFmtId="169" fontId="33" fillId="0" borderId="1" xfId="0" applyNumberFormat="1" applyFont="1" applyBorder="1" applyAlignment="1">
      <alignment horizontal="center" vertical="center" wrapText="1"/>
    </xf>
    <xf numFmtId="169" fontId="51" fillId="0" borderId="0" xfId="0" applyNumberFormat="1" applyFont="1" applyAlignment="1">
      <alignment horizontal="center" vertical="center"/>
    </xf>
    <xf numFmtId="169" fontId="30" fillId="0" borderId="0" xfId="0" applyNumberFormat="1" applyFont="1" applyAlignment="1" applyProtection="1">
      <alignment vertical="center"/>
      <protection locked="0"/>
    </xf>
    <xf numFmtId="169" fontId="33" fillId="0" borderId="34" xfId="0" applyNumberFormat="1" applyFont="1" applyBorder="1" applyAlignment="1">
      <alignment horizontal="center" vertical="center"/>
    </xf>
    <xf numFmtId="0" fontId="44" fillId="0" borderId="0" xfId="7" applyFont="1" applyProtection="1">
      <protection locked="0"/>
    </xf>
    <xf numFmtId="0" fontId="39" fillId="0" borderId="0" xfId="7" applyFont="1" applyAlignment="1" applyProtection="1">
      <alignment horizontal="center"/>
      <protection locked="0"/>
    </xf>
    <xf numFmtId="0" fontId="65" fillId="0" borderId="0" xfId="7" applyFont="1" applyAlignment="1" applyProtection="1">
      <alignment horizontal="center"/>
      <protection locked="0"/>
    </xf>
    <xf numFmtId="0" fontId="52" fillId="0" borderId="1" xfId="7" applyFont="1" applyBorder="1" applyAlignment="1" applyProtection="1">
      <alignment horizontal="center" vertical="center"/>
      <protection locked="0"/>
    </xf>
    <xf numFmtId="0" fontId="52" fillId="0" borderId="0" xfId="7" applyFont="1" applyAlignment="1" applyProtection="1">
      <alignment horizontal="center" vertical="center"/>
      <protection locked="0"/>
    </xf>
    <xf numFmtId="0" fontId="30" fillId="0" borderId="1" xfId="61" applyFont="1" applyBorder="1" applyAlignment="1" applyProtection="1">
      <alignment vertical="center" wrapText="1"/>
      <protection locked="0"/>
    </xf>
    <xf numFmtId="0" fontId="44" fillId="0" borderId="0" xfId="74" applyFont="1" applyProtection="1">
      <protection locked="0"/>
    </xf>
    <xf numFmtId="169" fontId="33" fillId="0" borderId="3" xfId="3" applyNumberFormat="1" applyFont="1" applyBorder="1" applyAlignment="1" applyProtection="1">
      <alignment horizontal="center" vertical="center"/>
    </xf>
    <xf numFmtId="0" fontId="33" fillId="0" borderId="0" xfId="7" applyFont="1" applyAlignment="1" applyProtection="1">
      <alignment horizontal="left" vertical="center"/>
      <protection locked="0"/>
    </xf>
    <xf numFmtId="169" fontId="51" fillId="0" borderId="0" xfId="7" applyNumberFormat="1" applyFont="1" applyAlignment="1">
      <alignment horizontal="center" vertical="center"/>
    </xf>
    <xf numFmtId="167" fontId="33" fillId="0" borderId="0" xfId="8" applyNumberFormat="1" applyFont="1" applyAlignment="1" applyProtection="1">
      <alignment vertical="center"/>
      <protection locked="0"/>
    </xf>
    <xf numFmtId="0" fontId="30" fillId="0" borderId="0" xfId="7" applyFont="1" applyAlignment="1" applyProtection="1">
      <alignment vertical="center"/>
      <protection locked="0"/>
    </xf>
    <xf numFmtId="169" fontId="33" fillId="0" borderId="0" xfId="7" applyNumberFormat="1" applyFont="1" applyAlignment="1" applyProtection="1">
      <alignment horizontal="center" vertical="center"/>
      <protection locked="0"/>
    </xf>
    <xf numFmtId="0" fontId="66" fillId="0" borderId="0" xfId="0" applyFont="1" applyAlignment="1" applyProtection="1">
      <alignment horizontal="left" wrapText="1"/>
      <protection locked="0"/>
    </xf>
    <xf numFmtId="0" fontId="30" fillId="0" borderId="0" xfId="7" applyFont="1" applyAlignment="1" applyProtection="1">
      <alignment vertical="center" wrapText="1"/>
      <protection locked="0"/>
    </xf>
    <xf numFmtId="0" fontId="33" fillId="0" borderId="0" xfId="7" applyFont="1" applyAlignment="1" applyProtection="1">
      <alignment horizontal="center" vertical="center"/>
      <protection locked="0"/>
    </xf>
    <xf numFmtId="0" fontId="30" fillId="0" borderId="35" xfId="7" applyFont="1" applyBorder="1" applyAlignment="1" applyProtection="1">
      <alignment vertical="center" wrapText="1"/>
      <protection locked="0"/>
    </xf>
    <xf numFmtId="0" fontId="30" fillId="0" borderId="10" xfId="75" applyFont="1" applyBorder="1" applyAlignment="1" applyProtection="1">
      <alignment vertical="center" wrapText="1"/>
      <protection locked="0"/>
    </xf>
    <xf numFmtId="9" fontId="33" fillId="0" borderId="10" xfId="5" applyNumberFormat="1" applyFont="1" applyBorder="1" applyAlignment="1" applyProtection="1">
      <alignment horizontal="center" vertical="center"/>
    </xf>
    <xf numFmtId="0" fontId="44" fillId="0" borderId="0" xfId="7" applyFont="1" applyAlignment="1" applyProtection="1">
      <alignment vertical="center"/>
      <protection locked="0"/>
    </xf>
    <xf numFmtId="6" fontId="65" fillId="0" borderId="0" xfId="7" applyNumberFormat="1" applyFont="1" applyAlignment="1" applyProtection="1">
      <alignment vertical="center"/>
      <protection locked="0"/>
    </xf>
    <xf numFmtId="0" fontId="44" fillId="0" borderId="0" xfId="71" applyFont="1" applyProtection="1">
      <protection locked="0"/>
    </xf>
    <xf numFmtId="0" fontId="52" fillId="0" borderId="1" xfId="74" applyFont="1" applyBorder="1" applyAlignment="1" applyProtection="1">
      <alignment horizontal="center" vertical="center"/>
      <protection locked="0"/>
    </xf>
    <xf numFmtId="0" fontId="52" fillId="0" borderId="3" xfId="74" applyFont="1" applyBorder="1" applyAlignment="1" applyProtection="1">
      <alignment horizontal="center" vertical="center" wrapText="1"/>
      <protection locked="0"/>
    </xf>
    <xf numFmtId="0" fontId="30" fillId="0" borderId="1" xfId="75" applyFont="1" applyBorder="1" applyAlignment="1" applyProtection="1">
      <alignment vertical="center" wrapText="1"/>
      <protection locked="0"/>
    </xf>
    <xf numFmtId="0" fontId="30" fillId="0" borderId="1" xfId="74" applyFont="1" applyBorder="1" applyAlignment="1" applyProtection="1">
      <alignment vertical="center"/>
      <protection locked="0"/>
    </xf>
    <xf numFmtId="0" fontId="30" fillId="0" borderId="6" xfId="74" applyFont="1" applyBorder="1" applyAlignment="1" applyProtection="1">
      <alignment vertical="center" wrapText="1"/>
      <protection locked="0"/>
    </xf>
    <xf numFmtId="164" fontId="44" fillId="0" borderId="0" xfId="74" applyNumberFormat="1" applyFont="1" applyProtection="1">
      <protection locked="0"/>
    </xf>
    <xf numFmtId="0" fontId="33" fillId="0" borderId="0" xfId="74" applyFont="1" applyAlignment="1" applyProtection="1">
      <alignment horizontal="left" vertical="center"/>
      <protection locked="0"/>
    </xf>
    <xf numFmtId="169" fontId="51" fillId="0" borderId="9" xfId="6" applyNumberFormat="1" applyFont="1" applyBorder="1" applyAlignment="1">
      <alignment horizontal="center" vertical="center"/>
    </xf>
    <xf numFmtId="169" fontId="33" fillId="0" borderId="0" xfId="3" applyNumberFormat="1" applyFont="1" applyBorder="1" applyAlignment="1" applyProtection="1">
      <alignment horizontal="center" vertical="center"/>
      <protection locked="0"/>
    </xf>
    <xf numFmtId="0" fontId="30" fillId="0" borderId="0" xfId="6" applyFont="1" applyAlignment="1" applyProtection="1">
      <alignment vertical="center"/>
      <protection locked="0"/>
    </xf>
    <xf numFmtId="0" fontId="30" fillId="0" borderId="1" xfId="6" applyFont="1" applyBorder="1" applyAlignment="1" applyProtection="1">
      <alignment vertical="center"/>
      <protection locked="0"/>
    </xf>
    <xf numFmtId="0" fontId="33" fillId="0" borderId="0" xfId="6" applyFont="1" applyAlignment="1" applyProtection="1">
      <alignment vertical="center"/>
      <protection locked="0"/>
    </xf>
    <xf numFmtId="0" fontId="30" fillId="0" borderId="0" xfId="74" applyFont="1" applyAlignment="1" applyProtection="1">
      <alignment vertical="center"/>
      <protection locked="0"/>
    </xf>
    <xf numFmtId="169" fontId="33" fillId="0" borderId="0" xfId="74" applyNumberFormat="1" applyFont="1" applyAlignment="1" applyProtection="1">
      <alignment horizontal="center" vertical="center"/>
      <protection locked="0"/>
    </xf>
    <xf numFmtId="0" fontId="66" fillId="0" borderId="0" xfId="6" applyFont="1" applyAlignment="1" applyProtection="1">
      <alignment horizontal="left" wrapText="1"/>
      <protection locked="0"/>
    </xf>
    <xf numFmtId="0" fontId="30" fillId="0" borderId="0" xfId="71" applyFont="1" applyAlignment="1" applyProtection="1">
      <alignment vertical="center" wrapText="1"/>
      <protection locked="0"/>
    </xf>
    <xf numFmtId="0" fontId="33" fillId="0" borderId="0" xfId="71" applyFont="1" applyAlignment="1" applyProtection="1">
      <alignment horizontal="center" vertical="center"/>
      <protection locked="0"/>
    </xf>
    <xf numFmtId="0" fontId="30" fillId="0" borderId="0" xfId="71" applyFont="1" applyAlignment="1" applyProtection="1">
      <alignment vertical="center"/>
      <protection locked="0"/>
    </xf>
    <xf numFmtId="0" fontId="30" fillId="0" borderId="35" xfId="71" applyFont="1" applyBorder="1" applyAlignment="1" applyProtection="1">
      <alignment vertical="center" wrapText="1"/>
      <protection locked="0"/>
    </xf>
    <xf numFmtId="169" fontId="33" fillId="0" borderId="34" xfId="3" applyNumberFormat="1" applyFont="1" applyBorder="1" applyAlignment="1" applyProtection="1">
      <alignment horizontal="center" vertical="center"/>
    </xf>
    <xf numFmtId="43" fontId="68" fillId="0" borderId="0" xfId="5" applyFont="1" applyBorder="1" applyAlignment="1" applyProtection="1">
      <alignment vertical="center"/>
      <protection locked="0"/>
    </xf>
    <xf numFmtId="0" fontId="44" fillId="0" borderId="0" xfId="75" applyFont="1" applyProtection="1">
      <protection locked="0"/>
    </xf>
    <xf numFmtId="169" fontId="30" fillId="0" borderId="0" xfId="6" applyNumberFormat="1" applyFont="1" applyAlignment="1" applyProtection="1">
      <alignment vertical="center"/>
      <protection locked="0"/>
    </xf>
    <xf numFmtId="0" fontId="30" fillId="0" borderId="0" xfId="75" applyFont="1" applyAlignment="1" applyProtection="1">
      <alignment vertical="center" wrapText="1"/>
      <protection locked="0"/>
    </xf>
    <xf numFmtId="0" fontId="33" fillId="0" borderId="0" xfId="75" applyFont="1" applyAlignment="1" applyProtection="1">
      <alignment horizontal="center" vertical="center"/>
      <protection locked="0"/>
    </xf>
    <xf numFmtId="0" fontId="30" fillId="0" borderId="0" xfId="75" applyFont="1" applyAlignment="1" applyProtection="1">
      <alignment vertical="center"/>
      <protection locked="0"/>
    </xf>
    <xf numFmtId="0" fontId="30" fillId="0" borderId="35" xfId="75" applyFont="1" applyBorder="1" applyAlignment="1" applyProtection="1">
      <alignment vertical="center" wrapText="1"/>
      <protection locked="0"/>
    </xf>
    <xf numFmtId="0" fontId="62" fillId="0" borderId="0" xfId="0" applyFont="1" applyAlignment="1" applyProtection="1">
      <alignment vertical="center"/>
      <protection locked="0"/>
    </xf>
    <xf numFmtId="0" fontId="33" fillId="0" borderId="0" xfId="0" applyFont="1" applyAlignment="1" applyProtection="1">
      <alignment horizontal="center" vertical="center" wrapText="1"/>
      <protection locked="0"/>
    </xf>
    <xf numFmtId="0" fontId="30" fillId="0" borderId="0" xfId="2" applyFont="1" applyAlignment="1" applyProtection="1">
      <alignment vertical="center"/>
      <protection locked="0"/>
    </xf>
    <xf numFmtId="166" fontId="30" fillId="0" borderId="0" xfId="1" applyFont="1" applyBorder="1" applyAlignment="1" applyProtection="1">
      <alignment horizontal="center" vertical="center"/>
      <protection locked="0"/>
    </xf>
    <xf numFmtId="164" fontId="33" fillId="0" borderId="0" xfId="0" applyNumberFormat="1" applyFont="1" applyAlignment="1" applyProtection="1">
      <alignment horizontal="center" vertical="center"/>
      <protection locked="0"/>
    </xf>
    <xf numFmtId="43" fontId="62" fillId="0" borderId="0" xfId="5" applyFont="1" applyAlignment="1" applyProtection="1">
      <alignment vertical="center"/>
      <protection locked="0"/>
    </xf>
    <xf numFmtId="169" fontId="51" fillId="0" borderId="0" xfId="0" applyNumberFormat="1" applyFont="1" applyAlignment="1" applyProtection="1">
      <alignment horizontal="center" vertical="center"/>
      <protection locked="0"/>
    </xf>
    <xf numFmtId="0" fontId="30" fillId="0" borderId="2" xfId="0" applyFont="1" applyBorder="1" applyAlignment="1" applyProtection="1">
      <alignment horizontal="left" vertical="center"/>
      <protection locked="0"/>
    </xf>
    <xf numFmtId="0" fontId="30" fillId="0" borderId="2" xfId="0" applyFont="1" applyBorder="1" applyAlignment="1" applyProtection="1">
      <alignment horizontal="left" vertical="center" wrapText="1"/>
      <protection locked="0"/>
    </xf>
    <xf numFmtId="0" fontId="33" fillId="0" borderId="2" xfId="0" applyFont="1" applyBorder="1" applyAlignment="1" applyProtection="1">
      <alignment horizontal="center" vertical="center"/>
      <protection locked="0"/>
    </xf>
    <xf numFmtId="0" fontId="33" fillId="0" borderId="0" xfId="0" applyFont="1" applyAlignment="1" applyProtection="1">
      <alignment vertical="center" wrapText="1"/>
      <protection locked="0"/>
    </xf>
    <xf numFmtId="0" fontId="30" fillId="0" borderId="0" xfId="0" applyFont="1" applyAlignment="1" applyProtection="1">
      <alignment horizontal="left" vertical="center"/>
      <protection locked="0"/>
    </xf>
    <xf numFmtId="0" fontId="39" fillId="0" borderId="0" xfId="2" applyFont="1" applyAlignment="1" applyProtection="1">
      <alignment vertical="center"/>
      <protection locked="0"/>
    </xf>
    <xf numFmtId="0" fontId="69" fillId="0" borderId="0" xfId="0" applyFont="1" applyAlignment="1" applyProtection="1">
      <alignment vertical="center"/>
      <protection locked="0"/>
    </xf>
    <xf numFmtId="0" fontId="64" fillId="0" borderId="0" xfId="0" applyFont="1" applyAlignment="1" applyProtection="1">
      <alignment horizontal="center" vertical="center"/>
      <protection locked="0"/>
    </xf>
    <xf numFmtId="0" fontId="33" fillId="0" borderId="18" xfId="0" applyFont="1" applyBorder="1" applyAlignment="1" applyProtection="1">
      <alignment horizontal="center" vertical="center"/>
      <protection locked="0"/>
    </xf>
    <xf numFmtId="0" fontId="33" fillId="0" borderId="21" xfId="0" applyFont="1" applyBorder="1" applyAlignment="1" applyProtection="1">
      <alignment horizontal="left" vertical="center"/>
      <protection locked="0"/>
    </xf>
    <xf numFmtId="0" fontId="33" fillId="0" borderId="0" xfId="3" applyFont="1" applyAlignment="1" applyProtection="1">
      <alignment horizontal="center" vertical="center"/>
      <protection locked="0"/>
    </xf>
    <xf numFmtId="0" fontId="30" fillId="0" borderId="0" xfId="3" applyFont="1" applyAlignment="1" applyProtection="1">
      <alignment vertical="center"/>
      <protection locked="0"/>
    </xf>
    <xf numFmtId="0" fontId="33" fillId="0" borderId="0" xfId="3" applyFont="1" applyAlignment="1" applyProtection="1">
      <alignment vertical="center"/>
      <protection locked="0"/>
    </xf>
    <xf numFmtId="0" fontId="33" fillId="0" borderId="1" xfId="3" applyFont="1" applyBorder="1" applyAlignment="1" applyProtection="1">
      <alignment horizontal="center" vertical="center"/>
      <protection locked="0"/>
    </xf>
    <xf numFmtId="0" fontId="30" fillId="0" borderId="1" xfId="3" applyFont="1" applyBorder="1" applyAlignment="1" applyProtection="1">
      <alignment vertical="center"/>
      <protection locked="0"/>
    </xf>
    <xf numFmtId="164" fontId="30" fillId="0" borderId="0" xfId="3" applyNumberFormat="1" applyFont="1" applyAlignment="1" applyProtection="1">
      <alignment vertical="center"/>
      <protection locked="0"/>
    </xf>
    <xf numFmtId="0" fontId="30" fillId="0" borderId="1" xfId="3" applyFont="1" applyBorder="1" applyAlignment="1" applyProtection="1">
      <alignment vertical="center" wrapText="1"/>
      <protection locked="0"/>
    </xf>
    <xf numFmtId="0" fontId="30" fillId="0" borderId="6" xfId="3" applyFont="1" applyBorder="1" applyAlignment="1" applyProtection="1">
      <alignment vertical="center" wrapText="1"/>
      <protection locked="0"/>
    </xf>
    <xf numFmtId="0" fontId="33" fillId="0" borderId="0" xfId="3" applyFont="1" applyAlignment="1" applyProtection="1">
      <alignment horizontal="left" vertical="center"/>
      <protection locked="0"/>
    </xf>
    <xf numFmtId="169" fontId="51" fillId="0" borderId="0" xfId="3" applyNumberFormat="1" applyFont="1" applyAlignment="1" applyProtection="1">
      <alignment horizontal="center" vertical="center"/>
    </xf>
    <xf numFmtId="169" fontId="30" fillId="0" borderId="0" xfId="3" applyNumberFormat="1" applyFont="1" applyAlignment="1" applyProtection="1">
      <alignment vertical="center"/>
      <protection locked="0"/>
    </xf>
    <xf numFmtId="0" fontId="30" fillId="0" borderId="2" xfId="3" applyFont="1" applyBorder="1" applyAlignment="1" applyProtection="1">
      <alignment vertical="center"/>
      <protection locked="0"/>
    </xf>
    <xf numFmtId="168" fontId="51" fillId="0" borderId="0" xfId="3" applyNumberFormat="1" applyFont="1" applyAlignment="1" applyProtection="1">
      <alignment horizontal="center" vertical="center"/>
    </xf>
    <xf numFmtId="168" fontId="30" fillId="0" borderId="0" xfId="3" applyNumberFormat="1" applyFont="1" applyAlignment="1" applyProtection="1">
      <alignment vertical="center"/>
      <protection locked="0"/>
    </xf>
    <xf numFmtId="0" fontId="39" fillId="0" borderId="0" xfId="3" applyFont="1" applyAlignment="1" applyProtection="1">
      <alignment horizontal="center" vertical="center"/>
      <protection locked="0"/>
    </xf>
    <xf numFmtId="0" fontId="70" fillId="0" borderId="0" xfId="3" applyFont="1" applyAlignment="1" applyProtection="1">
      <alignment vertical="center"/>
      <protection locked="0"/>
    </xf>
    <xf numFmtId="0" fontId="33" fillId="0" borderId="0" xfId="2" applyFont="1" applyAlignment="1" applyProtection="1">
      <alignment horizontal="center" vertical="center"/>
      <protection locked="0"/>
    </xf>
    <xf numFmtId="0" fontId="33" fillId="0" borderId="0" xfId="2" applyFont="1" applyAlignment="1" applyProtection="1">
      <alignment vertical="center"/>
      <protection locked="0"/>
    </xf>
    <xf numFmtId="0" fontId="33" fillId="0" borderId="1" xfId="2" applyFont="1" applyBorder="1" applyAlignment="1" applyProtection="1">
      <alignment horizontal="center" vertical="center"/>
      <protection locked="0"/>
    </xf>
    <xf numFmtId="0" fontId="30" fillId="0" borderId="1" xfId="2" applyFont="1" applyBorder="1" applyAlignment="1" applyProtection="1">
      <alignment vertical="center"/>
      <protection locked="0"/>
    </xf>
    <xf numFmtId="164" fontId="30" fillId="0" borderId="0" xfId="2" applyNumberFormat="1" applyFont="1" applyAlignment="1" applyProtection="1">
      <alignment vertical="center"/>
      <protection locked="0"/>
    </xf>
    <xf numFmtId="0" fontId="30" fillId="0" borderId="6" xfId="2" applyFont="1" applyBorder="1" applyAlignment="1" applyProtection="1">
      <alignment vertical="center" wrapText="1"/>
      <protection locked="0"/>
    </xf>
    <xf numFmtId="0" fontId="33" fillId="0" borderId="0" xfId="2" applyFont="1" applyAlignment="1" applyProtection="1">
      <alignment horizontal="left" vertical="center"/>
      <protection locked="0"/>
    </xf>
    <xf numFmtId="169" fontId="51" fillId="0" borderId="0" xfId="2" applyNumberFormat="1" applyFont="1" applyAlignment="1" applyProtection="1">
      <alignment horizontal="center" vertical="center"/>
    </xf>
    <xf numFmtId="169" fontId="30" fillId="0" borderId="0" xfId="2" applyNumberFormat="1" applyFont="1" applyAlignment="1" applyProtection="1">
      <alignment vertical="center"/>
      <protection locked="0"/>
    </xf>
    <xf numFmtId="0" fontId="33" fillId="0" borderId="1" xfId="0" applyFont="1" applyBorder="1" applyAlignment="1" applyProtection="1">
      <alignment horizontal="center" vertical="center" wrapText="1"/>
      <protection locked="0"/>
    </xf>
    <xf numFmtId="169" fontId="33" fillId="0" borderId="0" xfId="0" applyNumberFormat="1" applyFont="1" applyAlignment="1" applyProtection="1">
      <alignment horizontal="center" vertical="center" wrapText="1"/>
      <protection locked="0"/>
    </xf>
    <xf numFmtId="0" fontId="30" fillId="0" borderId="1" xfId="0" applyFont="1" applyBorder="1" applyAlignment="1" applyProtection="1">
      <alignment horizontal="left" vertical="center"/>
      <protection locked="0"/>
    </xf>
    <xf numFmtId="0" fontId="30" fillId="0" borderId="1" xfId="0" applyFont="1" applyBorder="1" applyAlignment="1" applyProtection="1">
      <alignment horizontal="left" vertical="center" wrapText="1"/>
      <protection locked="0"/>
    </xf>
    <xf numFmtId="168" fontId="51" fillId="0" borderId="0" xfId="0" applyNumberFormat="1" applyFont="1" applyAlignment="1">
      <alignment horizontal="center" vertical="center"/>
    </xf>
    <xf numFmtId="168" fontId="30" fillId="0" borderId="0" xfId="0" applyNumberFormat="1" applyFont="1" applyAlignment="1" applyProtection="1">
      <alignment horizontal="center" vertical="center"/>
      <protection locked="0"/>
    </xf>
    <xf numFmtId="168" fontId="30" fillId="0" borderId="0" xfId="1" applyNumberFormat="1" applyFont="1" applyBorder="1" applyAlignment="1" applyProtection="1">
      <alignment horizontal="center" vertical="center"/>
      <protection locked="0"/>
    </xf>
    <xf numFmtId="168" fontId="33" fillId="0" borderId="0" xfId="0" applyNumberFormat="1" applyFont="1" applyAlignment="1" applyProtection="1">
      <alignment horizontal="center" vertical="center" wrapText="1"/>
      <protection locked="0"/>
    </xf>
    <xf numFmtId="168" fontId="33" fillId="0" borderId="3" xfId="1" applyNumberFormat="1" applyFont="1" applyFill="1" applyBorder="1" applyAlignment="1" applyProtection="1">
      <alignment horizontal="center" vertical="center"/>
    </xf>
    <xf numFmtId="168" fontId="33" fillId="0" borderId="0" xfId="1" applyNumberFormat="1" applyFont="1" applyFill="1" applyBorder="1" applyAlignment="1" applyProtection="1">
      <alignment horizontal="center" vertical="center"/>
      <protection locked="0"/>
    </xf>
    <xf numFmtId="169" fontId="33" fillId="0" borderId="7" xfId="0" applyNumberFormat="1" applyFont="1" applyBorder="1" applyAlignment="1" applyProtection="1">
      <alignment horizontal="center" vertical="center"/>
      <protection locked="0"/>
    </xf>
    <xf numFmtId="0" fontId="30" fillId="0" borderId="17" xfId="0" applyFont="1" applyBorder="1" applyAlignment="1" applyProtection="1">
      <alignment vertical="center" wrapText="1"/>
      <protection locked="0"/>
    </xf>
    <xf numFmtId="164" fontId="51" fillId="0" borderId="0" xfId="0" applyNumberFormat="1" applyFont="1" applyAlignment="1">
      <alignment horizontal="center" vertical="center"/>
    </xf>
    <xf numFmtId="0" fontId="39" fillId="0" borderId="0" xfId="0" applyFont="1" applyAlignment="1" applyProtection="1">
      <alignment vertical="center"/>
      <protection locked="0"/>
    </xf>
    <xf numFmtId="169" fontId="30" fillId="0" borderId="10" xfId="1" applyNumberFormat="1" applyFont="1" applyBorder="1" applyAlignment="1" applyProtection="1">
      <alignment horizontal="center" vertical="center"/>
    </xf>
    <xf numFmtId="0" fontId="30" fillId="0" borderId="15" xfId="0" applyFont="1" applyBorder="1" applyAlignment="1" applyProtection="1">
      <alignment vertical="center" wrapText="1"/>
      <protection locked="0"/>
    </xf>
    <xf numFmtId="168" fontId="30" fillId="0" borderId="0" xfId="0" applyNumberFormat="1" applyFont="1" applyAlignment="1" applyProtection="1">
      <alignment vertical="center"/>
      <protection locked="0"/>
    </xf>
    <xf numFmtId="168" fontId="33" fillId="0" borderId="34" xfId="1" applyNumberFormat="1" applyFont="1" applyBorder="1" applyAlignment="1" applyProtection="1">
      <alignment horizontal="center" vertical="center"/>
    </xf>
    <xf numFmtId="168" fontId="33" fillId="0" borderId="0" xfId="1" applyNumberFormat="1" applyFont="1" applyFill="1" applyBorder="1" applyAlignment="1" applyProtection="1">
      <alignment horizontal="center"/>
      <protection locked="0"/>
    </xf>
    <xf numFmtId="9" fontId="33" fillId="0" borderId="13" xfId="36" applyFont="1" applyBorder="1" applyAlignment="1" applyProtection="1">
      <alignment horizontal="center" vertical="center"/>
    </xf>
    <xf numFmtId="0" fontId="33" fillId="3" borderId="0" xfId="0" applyFont="1" applyFill="1" applyAlignment="1" applyProtection="1">
      <alignment vertical="center"/>
      <protection locked="0"/>
    </xf>
    <xf numFmtId="0" fontId="70" fillId="0" borderId="0" xfId="0" applyFont="1" applyAlignment="1" applyProtection="1">
      <alignment vertical="center"/>
      <protection locked="0"/>
    </xf>
    <xf numFmtId="168" fontId="51" fillId="0" borderId="9" xfId="0" applyNumberFormat="1" applyFont="1" applyBorder="1" applyAlignment="1" applyProtection="1">
      <alignment horizontal="center" vertical="center"/>
      <protection locked="0"/>
    </xf>
    <xf numFmtId="166" fontId="33" fillId="0" borderId="0" xfId="1" applyFont="1" applyBorder="1" applyAlignment="1" applyProtection="1">
      <alignment horizontal="center"/>
      <protection locked="0"/>
    </xf>
    <xf numFmtId="0" fontId="30" fillId="0" borderId="21" xfId="0" applyFont="1" applyBorder="1" applyAlignment="1" applyProtection="1">
      <alignment vertical="center" wrapText="1"/>
      <protection locked="0"/>
    </xf>
    <xf numFmtId="169" fontId="51" fillId="0" borderId="21" xfId="0" applyNumberFormat="1" applyFont="1" applyBorder="1" applyAlignment="1">
      <alignment horizontal="center" vertical="center"/>
    </xf>
    <xf numFmtId="0" fontId="30" fillId="0" borderId="18" xfId="0" applyFont="1" applyBorder="1" applyAlignment="1" applyProtection="1">
      <alignment vertical="center"/>
      <protection locked="0"/>
    </xf>
    <xf numFmtId="169" fontId="30" fillId="0" borderId="18" xfId="0" applyNumberFormat="1" applyFont="1" applyBorder="1" applyAlignment="1" applyProtection="1">
      <alignment horizontal="center" vertical="center"/>
      <protection locked="0"/>
    </xf>
    <xf numFmtId="0" fontId="33" fillId="0" borderId="18" xfId="0" applyFont="1" applyBorder="1" applyAlignment="1" applyProtection="1">
      <alignment vertical="center"/>
      <protection locked="0"/>
    </xf>
    <xf numFmtId="0" fontId="33" fillId="0" borderId="10" xfId="0" applyFont="1" applyBorder="1" applyAlignment="1" applyProtection="1">
      <alignment horizontal="center" vertical="center"/>
      <protection locked="0"/>
    </xf>
    <xf numFmtId="164" fontId="33" fillId="0" borderId="10" xfId="0" applyNumberFormat="1" applyFont="1" applyBorder="1" applyAlignment="1">
      <alignment horizontal="center" vertical="center"/>
    </xf>
    <xf numFmtId="168" fontId="51" fillId="0" borderId="21" xfId="0" applyNumberFormat="1" applyFont="1" applyBorder="1" applyAlignment="1">
      <alignment horizontal="center" vertical="center"/>
    </xf>
    <xf numFmtId="168" fontId="33" fillId="0" borderId="35" xfId="1" applyNumberFormat="1" applyFont="1" applyBorder="1" applyAlignment="1" applyProtection="1">
      <alignment horizontal="center" vertical="center"/>
    </xf>
    <xf numFmtId="0" fontId="30" fillId="0" borderId="18" xfId="0" applyFont="1" applyBorder="1" applyAlignment="1" applyProtection="1">
      <alignment vertical="center" wrapText="1"/>
      <protection locked="0"/>
    </xf>
    <xf numFmtId="168" fontId="30" fillId="0" borderId="18" xfId="0" applyNumberFormat="1" applyFont="1" applyBorder="1" applyAlignment="1" applyProtection="1">
      <alignment vertical="center"/>
      <protection locked="0"/>
    </xf>
    <xf numFmtId="0" fontId="33" fillId="0" borderId="0" xfId="0" applyFont="1" applyAlignment="1" applyProtection="1">
      <alignment horizontal="center" wrapText="1"/>
      <protection locked="0"/>
    </xf>
    <xf numFmtId="170" fontId="51" fillId="0" borderId="0" xfId="0" applyNumberFormat="1" applyFont="1" applyAlignment="1">
      <alignment horizontal="center" vertical="center"/>
    </xf>
    <xf numFmtId="169" fontId="33" fillId="0" borderId="10" xfId="0" applyNumberFormat="1" applyFont="1" applyBorder="1" applyAlignment="1">
      <alignment horizontal="center" vertical="center" wrapText="1"/>
    </xf>
    <xf numFmtId="0" fontId="30" fillId="0" borderId="19" xfId="0" applyFont="1" applyBorder="1" applyAlignment="1" applyProtection="1">
      <alignment vertical="center" wrapText="1"/>
      <protection locked="0"/>
    </xf>
    <xf numFmtId="166" fontId="33" fillId="0" borderId="20" xfId="1" applyFont="1" applyBorder="1" applyAlignment="1" applyProtection="1">
      <alignment horizontal="center" vertical="center"/>
    </xf>
    <xf numFmtId="165" fontId="30" fillId="0" borderId="0" xfId="0" applyNumberFormat="1" applyFont="1" applyAlignment="1" applyProtection="1">
      <alignment horizontal="center" vertical="center"/>
      <protection locked="0"/>
    </xf>
    <xf numFmtId="0" fontId="30" fillId="0" borderId="37" xfId="0" applyFont="1" applyBorder="1" applyAlignment="1" applyProtection="1">
      <alignment vertical="center" wrapText="1"/>
      <protection locked="0"/>
    </xf>
    <xf numFmtId="0" fontId="30" fillId="0" borderId="35" xfId="0" applyFont="1" applyBorder="1" applyAlignment="1" applyProtection="1">
      <alignment vertical="center"/>
      <protection locked="0"/>
    </xf>
    <xf numFmtId="166" fontId="33" fillId="0" borderId="36" xfId="1" applyFont="1" applyBorder="1" applyAlignment="1" applyProtection="1">
      <alignment horizontal="center" vertical="center"/>
    </xf>
    <xf numFmtId="0" fontId="44" fillId="0" borderId="0" xfId="12" applyFont="1" applyProtection="1">
      <protection locked="0"/>
    </xf>
    <xf numFmtId="0" fontId="33" fillId="0" borderId="29" xfId="12" applyFont="1" applyBorder="1" applyAlignment="1" applyProtection="1">
      <alignment vertical="center"/>
      <protection locked="0"/>
    </xf>
    <xf numFmtId="0" fontId="33" fillId="0" borderId="30" xfId="145" applyFont="1" applyBorder="1" applyAlignment="1" applyProtection="1">
      <alignment horizontal="center" vertical="center" wrapText="1"/>
      <protection locked="0"/>
    </xf>
    <xf numFmtId="0" fontId="33" fillId="0" borderId="0" xfId="12" applyFont="1" applyAlignment="1" applyProtection="1">
      <alignment horizontal="center" vertical="center" wrapText="1"/>
      <protection locked="0"/>
    </xf>
    <xf numFmtId="0" fontId="30" fillId="0" borderId="31" xfId="12" applyFont="1" applyBorder="1" applyAlignment="1" applyProtection="1">
      <alignment vertical="center" wrapText="1"/>
      <protection locked="0"/>
    </xf>
    <xf numFmtId="38" fontId="33" fillId="0" borderId="32" xfId="14" applyNumberFormat="1" applyFont="1" applyFill="1" applyBorder="1" applyAlignment="1" applyProtection="1">
      <alignment horizontal="center" vertical="center"/>
    </xf>
    <xf numFmtId="0" fontId="30" fillId="0" borderId="31" xfId="12" applyFont="1" applyBorder="1" applyAlignment="1" applyProtection="1">
      <alignment horizontal="left" vertical="center"/>
      <protection locked="0"/>
    </xf>
    <xf numFmtId="38" fontId="33" fillId="0" borderId="33" xfId="0" applyNumberFormat="1" applyFont="1" applyBorder="1" applyAlignment="1">
      <alignment horizontal="center" vertical="center"/>
    </xf>
    <xf numFmtId="164" fontId="33" fillId="0" borderId="0" xfId="12" applyNumberFormat="1" applyFont="1" applyAlignment="1" applyProtection="1">
      <alignment horizontal="center" vertical="center"/>
      <protection locked="0"/>
    </xf>
    <xf numFmtId="0" fontId="30" fillId="0" borderId="31" xfId="12" applyFont="1" applyBorder="1" applyAlignment="1" applyProtection="1">
      <alignment horizontal="left" vertical="center" wrapText="1"/>
      <protection locked="0"/>
    </xf>
    <xf numFmtId="0" fontId="33" fillId="0" borderId="9" xfId="12" applyFont="1" applyBorder="1" applyAlignment="1" applyProtection="1">
      <alignment horizontal="left" vertical="center"/>
      <protection locked="0"/>
    </xf>
    <xf numFmtId="38" fontId="51" fillId="0" borderId="9" xfId="12" applyNumberFormat="1" applyFont="1" applyBorder="1" applyAlignment="1">
      <alignment horizontal="center" vertical="center"/>
    </xf>
    <xf numFmtId="6" fontId="33" fillId="0" borderId="0" xfId="12" applyNumberFormat="1" applyFont="1" applyAlignment="1" applyProtection="1">
      <alignment vertical="center"/>
      <protection locked="0"/>
    </xf>
    <xf numFmtId="0" fontId="30" fillId="0" borderId="0" xfId="12" applyFont="1" applyAlignment="1" applyProtection="1">
      <alignment vertical="center"/>
      <protection locked="0"/>
    </xf>
    <xf numFmtId="164" fontId="30" fillId="0" borderId="0" xfId="12" applyNumberFormat="1" applyFont="1" applyAlignment="1" applyProtection="1">
      <alignment horizontal="center" vertical="center"/>
      <protection locked="0"/>
    </xf>
    <xf numFmtId="0" fontId="30" fillId="0" borderId="0" xfId="12" applyFont="1" applyAlignment="1" applyProtection="1">
      <alignment vertical="center" wrapText="1"/>
      <protection locked="0"/>
    </xf>
    <xf numFmtId="0" fontId="33" fillId="0" borderId="0" xfId="12" applyFont="1" applyAlignment="1" applyProtection="1">
      <alignment horizontal="center" vertical="center"/>
      <protection locked="0"/>
    </xf>
    <xf numFmtId="0" fontId="30" fillId="0" borderId="35" xfId="12" applyFont="1" applyBorder="1" applyAlignment="1" applyProtection="1">
      <alignment vertical="center" wrapText="1"/>
      <protection locked="0"/>
    </xf>
    <xf numFmtId="169" fontId="33" fillId="0" borderId="40" xfId="0" applyNumberFormat="1" applyFont="1" applyBorder="1" applyAlignment="1">
      <alignment horizontal="center" vertical="center"/>
    </xf>
    <xf numFmtId="0" fontId="30" fillId="0" borderId="10" xfId="12" applyFont="1" applyBorder="1" applyAlignment="1" applyProtection="1">
      <alignment vertical="center" wrapText="1"/>
      <protection locked="0"/>
    </xf>
    <xf numFmtId="9" fontId="33" fillId="0" borderId="10" xfId="36" applyFont="1" applyFill="1" applyBorder="1" applyAlignment="1" applyProtection="1">
      <alignment horizontal="center" vertical="center"/>
    </xf>
    <xf numFmtId="0" fontId="33" fillId="0" borderId="30" xfId="12" applyFont="1" applyBorder="1" applyAlignment="1" applyProtection="1">
      <alignment horizontal="center" vertical="center" wrapText="1"/>
      <protection locked="0"/>
    </xf>
    <xf numFmtId="169" fontId="33" fillId="0" borderId="33" xfId="0" applyNumberFormat="1" applyFont="1" applyBorder="1" applyAlignment="1">
      <alignment horizontal="center" vertical="center"/>
    </xf>
    <xf numFmtId="169" fontId="51" fillId="0" borderId="9" xfId="12" applyNumberFormat="1" applyFont="1" applyBorder="1" applyAlignment="1">
      <alignment horizontal="center" vertical="center"/>
    </xf>
    <xf numFmtId="0" fontId="44" fillId="0" borderId="0" xfId="145" applyFont="1" applyProtection="1">
      <protection locked="0"/>
    </xf>
    <xf numFmtId="0" fontId="30" fillId="0" borderId="1" xfId="145" applyFont="1" applyBorder="1" applyAlignment="1" applyProtection="1">
      <alignment vertical="center"/>
      <protection locked="0"/>
    </xf>
    <xf numFmtId="0" fontId="33" fillId="0" borderId="4" xfId="145" applyFont="1" applyBorder="1" applyAlignment="1" applyProtection="1">
      <alignment horizontal="center" vertical="center" wrapText="1"/>
      <protection locked="0"/>
    </xf>
    <xf numFmtId="0" fontId="33" fillId="0" borderId="0" xfId="145" applyFont="1" applyAlignment="1" applyProtection="1">
      <alignment horizontal="center" vertical="center" wrapText="1"/>
      <protection locked="0"/>
    </xf>
    <xf numFmtId="0" fontId="30" fillId="0" borderId="1" xfId="145" applyFont="1" applyBorder="1" applyAlignment="1" applyProtection="1">
      <alignment vertical="center" wrapText="1"/>
      <protection locked="0"/>
    </xf>
    <xf numFmtId="40" fontId="33" fillId="0" borderId="4" xfId="146" applyNumberFormat="1" applyFont="1" applyFill="1" applyBorder="1" applyAlignment="1" applyProtection="1">
      <alignment horizontal="center" vertical="center"/>
    </xf>
    <xf numFmtId="0" fontId="30" fillId="0" borderId="1" xfId="145" applyFont="1" applyBorder="1" applyAlignment="1" applyProtection="1">
      <alignment horizontal="left" vertical="center"/>
      <protection locked="0"/>
    </xf>
    <xf numFmtId="164" fontId="33" fillId="0" borderId="0" xfId="145" applyNumberFormat="1" applyFont="1" applyAlignment="1" applyProtection="1">
      <alignment horizontal="center" vertical="center"/>
      <protection locked="0"/>
    </xf>
    <xf numFmtId="0" fontId="30" fillId="0" borderId="1" xfId="145" applyFont="1" applyBorder="1" applyAlignment="1" applyProtection="1">
      <alignment horizontal="left" vertical="center" wrapText="1"/>
      <protection locked="0"/>
    </xf>
    <xf numFmtId="0" fontId="33" fillId="0" borderId="0" xfId="145" applyFont="1" applyAlignment="1" applyProtection="1">
      <alignment horizontal="left" vertical="center"/>
      <protection locked="0"/>
    </xf>
    <xf numFmtId="169" fontId="51" fillId="0" borderId="0" xfId="145" applyNumberFormat="1" applyFont="1" applyAlignment="1">
      <alignment horizontal="center" vertical="center"/>
    </xf>
    <xf numFmtId="0" fontId="30" fillId="0" borderId="0" xfId="145" applyFont="1" applyAlignment="1" applyProtection="1">
      <alignment vertical="center"/>
      <protection locked="0"/>
    </xf>
    <xf numFmtId="168" fontId="30" fillId="0" borderId="0" xfId="6" applyNumberFormat="1" applyFont="1" applyAlignment="1" applyProtection="1">
      <alignment horizontal="center" vertical="center"/>
      <protection locked="0"/>
    </xf>
    <xf numFmtId="0" fontId="30" fillId="0" borderId="0" xfId="6" applyFont="1" applyAlignment="1" applyProtection="1">
      <alignment vertical="center" wrapText="1"/>
      <protection locked="0"/>
    </xf>
    <xf numFmtId="168" fontId="33" fillId="0" borderId="0" xfId="6" applyNumberFormat="1" applyFont="1" applyAlignment="1" applyProtection="1">
      <alignment horizontal="center" vertical="center" wrapText="1"/>
      <protection locked="0"/>
    </xf>
    <xf numFmtId="0" fontId="30" fillId="0" borderId="35" xfId="6" applyFont="1" applyBorder="1" applyAlignment="1" applyProtection="1">
      <alignment vertical="center" wrapText="1"/>
      <protection locked="0"/>
    </xf>
    <xf numFmtId="168" fontId="33" fillId="0" borderId="3" xfId="4" applyNumberFormat="1" applyFont="1" applyFill="1" applyBorder="1" applyAlignment="1" applyProtection="1">
      <alignment horizontal="center" vertical="center"/>
    </xf>
    <xf numFmtId="172" fontId="33" fillId="0" borderId="10" xfId="36" applyNumberFormat="1" applyFont="1" applyFill="1" applyBorder="1" applyAlignment="1" applyProtection="1">
      <alignment horizontal="center" vertical="center"/>
    </xf>
    <xf numFmtId="0" fontId="30" fillId="0" borderId="0" xfId="6" applyFont="1" applyAlignment="1" applyProtection="1">
      <alignment horizontal="left" vertical="center" wrapText="1"/>
      <protection locked="0"/>
    </xf>
    <xf numFmtId="168" fontId="33" fillId="0" borderId="0" xfId="4" applyNumberFormat="1" applyFont="1" applyFill="1" applyBorder="1" applyAlignment="1" applyProtection="1">
      <alignment horizontal="center" vertical="center"/>
      <protection locked="0"/>
    </xf>
    <xf numFmtId="0" fontId="30" fillId="0" borderId="1" xfId="12" applyFont="1" applyBorder="1" applyAlignment="1" applyProtection="1">
      <alignment vertical="center"/>
      <protection locked="0"/>
    </xf>
    <xf numFmtId="0" fontId="33" fillId="0" borderId="4" xfId="12" applyFont="1" applyBorder="1" applyAlignment="1" applyProtection="1">
      <alignment horizontal="center" vertical="center" wrapText="1"/>
      <protection locked="0"/>
    </xf>
    <xf numFmtId="0" fontId="30" fillId="0" borderId="1" xfId="12" applyFont="1" applyBorder="1" applyAlignment="1" applyProtection="1">
      <alignment vertical="center" wrapText="1"/>
      <protection locked="0"/>
    </xf>
    <xf numFmtId="40" fontId="33" fillId="0" borderId="4" xfId="13" applyNumberFormat="1" applyFont="1" applyFill="1" applyBorder="1" applyAlignment="1" applyProtection="1">
      <alignment horizontal="center" vertical="center"/>
    </xf>
    <xf numFmtId="0" fontId="30" fillId="0" borderId="1" xfId="12" applyFont="1" applyBorder="1" applyAlignment="1" applyProtection="1">
      <alignment horizontal="left" vertical="center"/>
      <protection locked="0"/>
    </xf>
    <xf numFmtId="0" fontId="30" fillId="0" borderId="1" xfId="12" applyFont="1" applyBorder="1" applyAlignment="1" applyProtection="1">
      <alignment horizontal="left" vertical="center" wrapText="1"/>
      <protection locked="0"/>
    </xf>
    <xf numFmtId="0" fontId="33" fillId="0" borderId="0" xfId="12" applyFont="1" applyAlignment="1" applyProtection="1">
      <alignment horizontal="left" vertical="center"/>
      <protection locked="0"/>
    </xf>
    <xf numFmtId="169" fontId="51" fillId="0" borderId="0" xfId="12" applyNumberFormat="1" applyFont="1" applyAlignment="1">
      <alignment horizontal="center" vertical="center"/>
    </xf>
    <xf numFmtId="0" fontId="44" fillId="0" borderId="0" xfId="76" applyFont="1" applyProtection="1">
      <protection locked="0"/>
    </xf>
    <xf numFmtId="0" fontId="30" fillId="0" borderId="1" xfId="76" applyFont="1" applyBorder="1" applyAlignment="1" applyProtection="1">
      <alignment vertical="center"/>
      <protection locked="0"/>
    </xf>
    <xf numFmtId="0" fontId="33" fillId="0" borderId="4" xfId="76" applyFont="1" applyBorder="1" applyAlignment="1" applyProtection="1">
      <alignment horizontal="center" vertical="center" wrapText="1"/>
      <protection locked="0"/>
    </xf>
    <xf numFmtId="0" fontId="33" fillId="0" borderId="0" xfId="76" applyFont="1" applyAlignment="1" applyProtection="1">
      <alignment horizontal="center" vertical="center" wrapText="1"/>
      <protection locked="0"/>
    </xf>
    <xf numFmtId="0" fontId="30" fillId="0" borderId="1" xfId="76" applyFont="1" applyBorder="1" applyAlignment="1" applyProtection="1">
      <alignment vertical="center" wrapText="1"/>
      <protection locked="0"/>
    </xf>
    <xf numFmtId="40" fontId="33" fillId="0" borderId="4" xfId="77" applyNumberFormat="1" applyFont="1" applyFill="1" applyBorder="1" applyAlignment="1" applyProtection="1">
      <alignment horizontal="center" vertical="center"/>
    </xf>
    <xf numFmtId="0" fontId="30" fillId="0" borderId="1" xfId="76" applyFont="1" applyBorder="1" applyAlignment="1" applyProtection="1">
      <alignment horizontal="left" vertical="center"/>
      <protection locked="0"/>
    </xf>
    <xf numFmtId="164" fontId="33" fillId="0" borderId="0" xfId="76" applyNumberFormat="1" applyFont="1" applyAlignment="1" applyProtection="1">
      <alignment horizontal="center" vertical="center"/>
      <protection locked="0"/>
    </xf>
    <xf numFmtId="0" fontId="30" fillId="0" borderId="1" xfId="76" applyFont="1" applyBorder="1" applyAlignment="1" applyProtection="1">
      <alignment horizontal="left" vertical="center" wrapText="1"/>
      <protection locked="0"/>
    </xf>
    <xf numFmtId="0" fontId="33" fillId="0" borderId="0" xfId="76" applyFont="1" applyAlignment="1" applyProtection="1">
      <alignment horizontal="left" vertical="center"/>
      <protection locked="0"/>
    </xf>
    <xf numFmtId="169" fontId="51" fillId="0" borderId="0" xfId="76" applyNumberFormat="1" applyFont="1" applyAlignment="1">
      <alignment horizontal="center" vertical="center"/>
    </xf>
    <xf numFmtId="0" fontId="30" fillId="0" borderId="0" xfId="76" applyFont="1" applyAlignment="1" applyProtection="1">
      <alignment vertical="center"/>
      <protection locked="0"/>
    </xf>
    <xf numFmtId="0" fontId="63" fillId="0" borderId="0" xfId="12" applyFont="1" applyProtection="1">
      <protection locked="0"/>
    </xf>
    <xf numFmtId="169" fontId="44" fillId="0" borderId="0" xfId="12" applyNumberFormat="1" applyFont="1" applyProtection="1">
      <protection locked="0"/>
    </xf>
    <xf numFmtId="0" fontId="30" fillId="0" borderId="35" xfId="76" applyFont="1" applyBorder="1" applyAlignment="1" applyProtection="1">
      <alignment vertical="center" wrapText="1"/>
      <protection locked="0"/>
    </xf>
    <xf numFmtId="169" fontId="33" fillId="0" borderId="10" xfId="76" applyNumberFormat="1" applyFont="1" applyBorder="1" applyAlignment="1">
      <alignment horizontal="center" vertical="center"/>
    </xf>
    <xf numFmtId="0" fontId="30" fillId="0" borderId="0" xfId="76" applyFont="1" applyAlignment="1" applyProtection="1">
      <alignment vertical="center" wrapText="1"/>
      <protection locked="0"/>
    </xf>
    <xf numFmtId="169" fontId="33" fillId="0" borderId="0" xfId="76" applyNumberFormat="1" applyFont="1" applyAlignment="1" applyProtection="1">
      <alignment horizontal="center" vertical="center"/>
      <protection locked="0"/>
    </xf>
    <xf numFmtId="168" fontId="30" fillId="0" borderId="0" xfId="4" applyNumberFormat="1" applyFont="1" applyBorder="1" applyAlignment="1" applyProtection="1">
      <alignment horizontal="center" vertical="center"/>
      <protection locked="0"/>
    </xf>
    <xf numFmtId="169" fontId="30" fillId="0" borderId="0" xfId="12" applyNumberFormat="1" applyFont="1" applyAlignment="1" applyProtection="1">
      <alignment vertical="center"/>
      <protection locked="0"/>
    </xf>
    <xf numFmtId="164" fontId="33" fillId="0" borderId="32" xfId="14" applyNumberFormat="1" applyFont="1" applyFill="1" applyBorder="1" applyAlignment="1" applyProtection="1">
      <alignment horizontal="center" vertical="center"/>
    </xf>
    <xf numFmtId="0" fontId="33" fillId="0" borderId="9" xfId="12" applyFont="1" applyBorder="1" applyAlignment="1" applyProtection="1">
      <alignment horizontal="left" vertical="center" wrapText="1"/>
      <protection locked="0"/>
    </xf>
    <xf numFmtId="0" fontId="30" fillId="0" borderId="31" xfId="0" applyFont="1" applyBorder="1" applyAlignment="1" applyProtection="1">
      <alignment vertical="center" wrapText="1"/>
      <protection locked="0"/>
    </xf>
    <xf numFmtId="0" fontId="33" fillId="0" borderId="0" xfId="12" applyFont="1" applyAlignment="1" applyProtection="1">
      <alignment horizontal="center"/>
      <protection locked="0"/>
    </xf>
    <xf numFmtId="169" fontId="33" fillId="0" borderId="39" xfId="0" applyNumberFormat="1" applyFont="1" applyBorder="1" applyAlignment="1">
      <alignment horizontal="center" vertical="center"/>
    </xf>
    <xf numFmtId="0" fontId="33" fillId="0" borderId="24" xfId="0" applyFont="1" applyBorder="1" applyAlignment="1" applyProtection="1">
      <alignment horizontal="center" vertical="center"/>
      <protection locked="0"/>
    </xf>
    <xf numFmtId="0" fontId="30" fillId="0" borderId="24" xfId="0" applyFont="1" applyBorder="1" applyAlignment="1" applyProtection="1">
      <alignment vertical="center" wrapText="1"/>
      <protection locked="0"/>
    </xf>
    <xf numFmtId="9" fontId="33" fillId="0" borderId="2" xfId="73" applyFont="1" applyFill="1" applyBorder="1" applyAlignment="1" applyProtection="1">
      <alignment horizontal="center" vertical="center"/>
    </xf>
    <xf numFmtId="169" fontId="33" fillId="0" borderId="2" xfId="0" applyNumberFormat="1" applyFont="1" applyBorder="1" applyAlignment="1">
      <alignment horizontal="center" vertical="center" wrapText="1"/>
    </xf>
    <xf numFmtId="0" fontId="30" fillId="0" borderId="18" xfId="71" applyFont="1" applyBorder="1" applyAlignment="1" applyProtection="1">
      <alignment vertical="center" wrapText="1"/>
      <protection locked="0"/>
    </xf>
    <xf numFmtId="169" fontId="33" fillId="0" borderId="18" xfId="0" applyNumberFormat="1" applyFont="1" applyBorder="1" applyAlignment="1" applyProtection="1">
      <alignment horizontal="center" vertical="center"/>
      <protection locked="0"/>
    </xf>
    <xf numFmtId="0" fontId="30" fillId="0" borderId="0" xfId="71" applyFont="1" applyAlignment="1" applyProtection="1">
      <alignment horizontal="left" vertical="center" wrapText="1"/>
      <protection locked="0"/>
    </xf>
    <xf numFmtId="169" fontId="33" fillId="0" borderId="14" xfId="0" applyNumberFormat="1" applyFont="1" applyBorder="1" applyAlignment="1">
      <alignment horizontal="center" vertical="center" wrapText="1"/>
    </xf>
    <xf numFmtId="9" fontId="33" fillId="0" borderId="1" xfId="0" applyNumberFormat="1" applyFont="1" applyBorder="1" applyAlignment="1">
      <alignment horizontal="center" vertical="center"/>
    </xf>
    <xf numFmtId="169" fontId="33" fillId="3" borderId="1" xfId="0" applyNumberFormat="1" applyFont="1" applyFill="1" applyBorder="1" applyAlignment="1">
      <alignment horizontal="center" vertical="center"/>
    </xf>
    <xf numFmtId="168" fontId="51" fillId="0" borderId="0" xfId="0" applyNumberFormat="1" applyFont="1" applyAlignment="1" applyProtection="1">
      <alignment horizontal="center" vertical="center"/>
      <protection locked="0"/>
    </xf>
    <xf numFmtId="0" fontId="67" fillId="0" borderId="16" xfId="0" applyFont="1" applyBorder="1" applyProtection="1">
      <protection locked="0"/>
    </xf>
    <xf numFmtId="9" fontId="33" fillId="0" borderId="0" xfId="36" applyFont="1" applyFill="1" applyBorder="1" applyAlignment="1" applyProtection="1">
      <alignment horizontal="center" vertical="center"/>
      <protection locked="0"/>
    </xf>
    <xf numFmtId="170" fontId="51" fillId="3" borderId="21" xfId="0" applyNumberFormat="1" applyFont="1" applyFill="1" applyBorder="1" applyAlignment="1">
      <alignment horizontal="center" vertical="center"/>
    </xf>
    <xf numFmtId="0" fontId="33" fillId="0" borderId="0" xfId="0" applyFont="1" applyAlignment="1" applyProtection="1">
      <alignment horizontal="center"/>
      <protection locked="0"/>
    </xf>
    <xf numFmtId="0" fontId="33" fillId="0" borderId="26" xfId="0" applyFont="1" applyBorder="1" applyAlignment="1" applyProtection="1">
      <alignment horizontal="center" vertical="center"/>
      <protection locked="0"/>
    </xf>
    <xf numFmtId="168" fontId="33" fillId="0" borderId="38" xfId="1" applyNumberFormat="1" applyFont="1" applyBorder="1" applyAlignment="1" applyProtection="1">
      <alignment horizontal="center" vertical="center"/>
    </xf>
    <xf numFmtId="168" fontId="33" fillId="0" borderId="38" xfId="1" applyNumberFormat="1" applyFont="1" applyFill="1" applyBorder="1" applyAlignment="1" applyProtection="1">
      <alignment horizontal="center" vertical="center"/>
    </xf>
    <xf numFmtId="0" fontId="33" fillId="0" borderId="14" xfId="0" applyFont="1" applyBorder="1" applyAlignment="1" applyProtection="1">
      <alignment horizontal="center" vertical="center"/>
      <protection locked="0"/>
    </xf>
    <xf numFmtId="0" fontId="30" fillId="0" borderId="5" xfId="0" applyFont="1" applyBorder="1" applyAlignment="1" applyProtection="1">
      <alignment vertical="center"/>
      <protection locked="0"/>
    </xf>
    <xf numFmtId="0" fontId="33" fillId="0" borderId="4" xfId="0" applyFont="1" applyBorder="1" applyAlignment="1" applyProtection="1">
      <alignment horizontal="center" vertical="center"/>
      <protection locked="0"/>
    </xf>
    <xf numFmtId="168" fontId="33" fillId="0" borderId="3" xfId="4" applyNumberFormat="1" applyFont="1" applyBorder="1" applyAlignment="1" applyProtection="1">
      <alignment horizontal="center" vertical="center"/>
    </xf>
    <xf numFmtId="166" fontId="52" fillId="0" borderId="0" xfId="4" applyFont="1" applyBorder="1" applyAlignment="1" applyProtection="1">
      <alignment horizontal="center" vertical="center"/>
      <protection locked="0"/>
    </xf>
    <xf numFmtId="0" fontId="33" fillId="0" borderId="10" xfId="0" applyFont="1" applyBorder="1" applyAlignment="1" applyProtection="1">
      <alignment horizontal="left" vertical="center"/>
      <protection locked="0"/>
    </xf>
    <xf numFmtId="170" fontId="51" fillId="3" borderId="10" xfId="0" applyNumberFormat="1" applyFont="1" applyFill="1" applyBorder="1" applyAlignment="1">
      <alignment horizontal="center" vertical="center"/>
    </xf>
    <xf numFmtId="0" fontId="30" fillId="0" borderId="21" xfId="0" applyFont="1" applyBorder="1" applyAlignment="1" applyProtection="1">
      <alignment vertical="center"/>
      <protection locked="0"/>
    </xf>
    <xf numFmtId="166" fontId="30" fillId="0" borderId="21" xfId="1" applyFont="1" applyBorder="1" applyAlignment="1" applyProtection="1">
      <alignment horizontal="center" vertical="center"/>
      <protection locked="0"/>
    </xf>
    <xf numFmtId="0" fontId="67" fillId="0" borderId="0" xfId="0" applyFont="1" applyProtection="1">
      <protection locked="0"/>
    </xf>
    <xf numFmtId="0" fontId="40" fillId="5" borderId="0" xfId="0" applyFont="1" applyFill="1" applyAlignment="1" applyProtection="1">
      <alignment vertical="center"/>
      <protection locked="0"/>
    </xf>
    <xf numFmtId="0" fontId="71" fillId="5" borderId="0" xfId="0" applyFont="1" applyFill="1" applyAlignment="1" applyProtection="1">
      <alignment vertical="center"/>
      <protection locked="0"/>
    </xf>
    <xf numFmtId="0" fontId="71" fillId="0" borderId="0" xfId="0" applyFont="1" applyAlignment="1" applyProtection="1">
      <alignment vertical="center"/>
      <protection locked="0"/>
    </xf>
    <xf numFmtId="0" fontId="72" fillId="5" borderId="0" xfId="7" applyFont="1" applyFill="1" applyProtection="1">
      <protection locked="0"/>
    </xf>
    <xf numFmtId="0" fontId="40" fillId="5" borderId="0" xfId="7" applyFont="1" applyFill="1" applyAlignment="1" applyProtection="1">
      <alignment horizontal="center" vertical="center"/>
      <protection locked="0"/>
    </xf>
    <xf numFmtId="0" fontId="72" fillId="0" borderId="0" xfId="7" applyFont="1" applyProtection="1">
      <protection locked="0"/>
    </xf>
    <xf numFmtId="0" fontId="72" fillId="5" borderId="0" xfId="74" applyFont="1" applyFill="1" applyProtection="1">
      <protection locked="0"/>
    </xf>
    <xf numFmtId="0" fontId="40" fillId="5" borderId="0" xfId="74" applyFont="1" applyFill="1" applyAlignment="1" applyProtection="1">
      <alignment horizontal="center" vertical="center"/>
      <protection locked="0"/>
    </xf>
    <xf numFmtId="0" fontId="72" fillId="0" borderId="0" xfId="74" applyFont="1" applyProtection="1">
      <protection locked="0"/>
    </xf>
    <xf numFmtId="0" fontId="73" fillId="5" borderId="0" xfId="0" applyFont="1" applyFill="1" applyAlignment="1" applyProtection="1">
      <alignment vertical="center"/>
      <protection locked="0"/>
    </xf>
    <xf numFmtId="0" fontId="73" fillId="0" borderId="0" xfId="0" applyFont="1" applyAlignment="1" applyProtection="1">
      <alignment vertical="center"/>
      <protection locked="0"/>
    </xf>
    <xf numFmtId="0" fontId="73" fillId="5" borderId="0" xfId="0" applyFont="1" applyFill="1" applyProtection="1">
      <protection locked="0"/>
    </xf>
    <xf numFmtId="0" fontId="73" fillId="0" borderId="0" xfId="0" applyFont="1" applyProtection="1">
      <protection locked="0"/>
    </xf>
    <xf numFmtId="0" fontId="72" fillId="5" borderId="0" xfId="12" applyFont="1" applyFill="1" applyProtection="1">
      <protection locked="0"/>
    </xf>
    <xf numFmtId="0" fontId="40" fillId="5" borderId="0" xfId="12" applyFont="1" applyFill="1" applyAlignment="1" applyProtection="1">
      <alignment horizontal="center" vertical="center"/>
      <protection locked="0"/>
    </xf>
    <xf numFmtId="0" fontId="72" fillId="0" borderId="0" xfId="12" applyFont="1" applyProtection="1">
      <protection locked="0"/>
    </xf>
    <xf numFmtId="0" fontId="72" fillId="5" borderId="0" xfId="145" applyFont="1" applyFill="1" applyProtection="1">
      <protection locked="0"/>
    </xf>
    <xf numFmtId="0" fontId="40" fillId="5" borderId="0" xfId="145" applyFont="1" applyFill="1" applyAlignment="1" applyProtection="1">
      <alignment horizontal="center" vertical="center"/>
      <protection locked="0"/>
    </xf>
    <xf numFmtId="0" fontId="72" fillId="0" borderId="0" xfId="145" applyFont="1" applyProtection="1">
      <protection locked="0"/>
    </xf>
    <xf numFmtId="0" fontId="72" fillId="5" borderId="0" xfId="76" applyFont="1" applyFill="1" applyProtection="1">
      <protection locked="0"/>
    </xf>
    <xf numFmtId="0" fontId="40" fillId="5" borderId="0" xfId="76" applyFont="1" applyFill="1" applyAlignment="1" applyProtection="1">
      <alignment horizontal="center" vertical="center"/>
      <protection locked="0"/>
    </xf>
    <xf numFmtId="0" fontId="72" fillId="0" borderId="0" xfId="76" applyFont="1" applyProtection="1">
      <protection locked="0"/>
    </xf>
    <xf numFmtId="0" fontId="73" fillId="5" borderId="0" xfId="0" applyFont="1" applyFill="1"/>
    <xf numFmtId="0" fontId="73" fillId="0" borderId="0" xfId="0" applyFont="1"/>
    <xf numFmtId="164" fontId="33" fillId="0" borderId="10" xfId="1" applyNumberFormat="1" applyFont="1" applyBorder="1" applyAlignment="1" applyProtection="1">
      <alignment horizontal="center" vertical="center"/>
    </xf>
    <xf numFmtId="0" fontId="40" fillId="0" borderId="0" xfId="0" applyFont="1" applyAlignment="1">
      <alignment horizontal="center" vertical="center" wrapText="1"/>
    </xf>
    <xf numFmtId="39" fontId="38" fillId="0" borderId="0" xfId="5" applyNumberFormat="1" applyFont="1"/>
    <xf numFmtId="39" fontId="57" fillId="0" borderId="0" xfId="5" applyNumberFormat="1" applyFont="1"/>
    <xf numFmtId="39" fontId="57" fillId="0" borderId="0" xfId="5" applyNumberFormat="1" applyFont="1" applyBorder="1"/>
    <xf numFmtId="39" fontId="38" fillId="0" borderId="0" xfId="5" applyNumberFormat="1" applyFont="1" applyFill="1"/>
    <xf numFmtId="0" fontId="40" fillId="0" borderId="0" xfId="0" applyFont="1" applyAlignment="1">
      <alignment horizontal="center"/>
    </xf>
    <xf numFmtId="0" fontId="37" fillId="2" borderId="0" xfId="0" applyFont="1" applyFill="1" applyAlignment="1">
      <alignment horizontal="right" indent="1"/>
    </xf>
    <xf numFmtId="173" fontId="37" fillId="2" borderId="0" xfId="0" applyNumberFormat="1" applyFont="1" applyFill="1"/>
    <xf numFmtId="0" fontId="40" fillId="2" borderId="0" xfId="0" applyFont="1" applyFill="1" applyAlignment="1">
      <alignment horizontal="center" vertical="center"/>
    </xf>
    <xf numFmtId="0" fontId="53" fillId="2" borderId="0" xfId="0" applyFont="1" applyFill="1" applyAlignment="1">
      <alignment horizontal="center" vertical="center"/>
    </xf>
    <xf numFmtId="39" fontId="37" fillId="2" borderId="0" xfId="5" applyNumberFormat="1" applyFont="1" applyFill="1"/>
    <xf numFmtId="4" fontId="37" fillId="2" borderId="0" xfId="0" applyNumberFormat="1" applyFont="1" applyFill="1"/>
    <xf numFmtId="39" fontId="38" fillId="2" borderId="0" xfId="5" applyNumberFormat="1" applyFont="1" applyFill="1"/>
    <xf numFmtId="0" fontId="49" fillId="2" borderId="0" xfId="0" applyFont="1" applyFill="1"/>
    <xf numFmtId="0" fontId="76" fillId="0" borderId="0" xfId="148" applyFont="1"/>
    <xf numFmtId="0" fontId="77" fillId="0" borderId="0" xfId="0" applyFont="1"/>
    <xf numFmtId="0" fontId="78" fillId="3" borderId="16" xfId="0" applyFont="1" applyFill="1" applyBorder="1"/>
    <xf numFmtId="0" fontId="79" fillId="3" borderId="41" xfId="0" applyFont="1" applyFill="1" applyBorder="1"/>
    <xf numFmtId="0" fontId="74" fillId="3" borderId="16" xfId="0" applyFont="1" applyFill="1" applyBorder="1"/>
    <xf numFmtId="0" fontId="77" fillId="0" borderId="16" xfId="0" applyFont="1" applyBorder="1"/>
    <xf numFmtId="0" fontId="74" fillId="3" borderId="25" xfId="0" applyFont="1" applyFill="1" applyBorder="1"/>
    <xf numFmtId="0" fontId="77" fillId="0" borderId="25" xfId="0" applyFont="1" applyBorder="1"/>
    <xf numFmtId="0" fontId="77" fillId="0" borderId="23" xfId="0" applyFont="1" applyBorder="1"/>
    <xf numFmtId="0" fontId="78" fillId="3" borderId="27" xfId="0" applyFont="1" applyFill="1" applyBorder="1"/>
    <xf numFmtId="0" fontId="79" fillId="3" borderId="22" xfId="0" applyFont="1" applyFill="1" applyBorder="1"/>
    <xf numFmtId="0" fontId="80" fillId="3" borderId="41" xfId="147" applyFont="1" applyFill="1" applyBorder="1"/>
    <xf numFmtId="0" fontId="81" fillId="0" borderId="23" xfId="0" applyFont="1" applyBorder="1"/>
    <xf numFmtId="0" fontId="80" fillId="3" borderId="23" xfId="147" applyFont="1" applyFill="1" applyBorder="1"/>
    <xf numFmtId="0" fontId="75" fillId="0" borderId="23" xfId="147" applyFont="1" applyBorder="1"/>
    <xf numFmtId="0" fontId="40" fillId="8" borderId="0" xfId="0" applyFont="1" applyFill="1" applyAlignment="1">
      <alignment horizontal="center"/>
    </xf>
    <xf numFmtId="0" fontId="82" fillId="0" borderId="0" xfId="0" applyFont="1" applyAlignment="1">
      <alignment vertical="top"/>
    </xf>
    <xf numFmtId="0" fontId="83" fillId="0" borderId="0" xfId="147" applyFont="1"/>
    <xf numFmtId="0" fontId="38" fillId="0" borderId="27" xfId="0" applyFont="1" applyBorder="1"/>
    <xf numFmtId="0" fontId="37" fillId="0" borderId="21" xfId="0" applyFont="1" applyBorder="1"/>
    <xf numFmtId="0" fontId="38" fillId="0" borderId="21" xfId="0" applyFont="1" applyBorder="1"/>
    <xf numFmtId="0" fontId="37" fillId="0" borderId="22" xfId="0" applyFont="1" applyBorder="1"/>
    <xf numFmtId="0" fontId="84" fillId="0" borderId="16" xfId="0" applyFont="1" applyBorder="1" applyAlignment="1">
      <alignment vertical="center"/>
    </xf>
    <xf numFmtId="0" fontId="85" fillId="0" borderId="0" xfId="0" applyFont="1" applyAlignment="1">
      <alignment vertical="center"/>
    </xf>
    <xf numFmtId="0" fontId="37" fillId="0" borderId="41" xfId="0" applyFont="1" applyBorder="1"/>
    <xf numFmtId="0" fontId="46" fillId="0" borderId="0" xfId="0" quotePrefix="1" applyFont="1"/>
    <xf numFmtId="0" fontId="0" fillId="0" borderId="16" xfId="0" applyBorder="1" applyAlignment="1">
      <alignment vertical="center"/>
    </xf>
    <xf numFmtId="0" fontId="86" fillId="0" borderId="0" xfId="0" applyFont="1"/>
    <xf numFmtId="0" fontId="44" fillId="0" borderId="0" xfId="0" applyFont="1"/>
    <xf numFmtId="0" fontId="45" fillId="0" borderId="0" xfId="0" applyFont="1"/>
    <xf numFmtId="0" fontId="37" fillId="0" borderId="0" xfId="0" applyFont="1" applyAlignment="1">
      <alignment horizontal="right"/>
    </xf>
    <xf numFmtId="0" fontId="84" fillId="0" borderId="25" xfId="0" applyFont="1" applyBorder="1" applyAlignment="1">
      <alignment vertical="center"/>
    </xf>
    <xf numFmtId="0" fontId="37" fillId="0" borderId="18" xfId="0" applyFont="1" applyBorder="1"/>
    <xf numFmtId="0" fontId="37" fillId="0" borderId="23" xfId="0" applyFont="1" applyBorder="1"/>
    <xf numFmtId="0" fontId="87" fillId="0" borderId="0" xfId="147" applyFont="1"/>
    <xf numFmtId="0" fontId="88" fillId="0" borderId="0" xfId="0" applyFont="1"/>
    <xf numFmtId="0" fontId="89" fillId="0" borderId="0" xfId="0" applyFont="1"/>
    <xf numFmtId="0" fontId="49" fillId="0" borderId="0" xfId="0" applyFont="1"/>
    <xf numFmtId="0" fontId="38" fillId="4" borderId="0" xfId="0" applyFont="1" applyFill="1"/>
    <xf numFmtId="0" fontId="37" fillId="4" borderId="0" xfId="0" applyFont="1" applyFill="1"/>
    <xf numFmtId="14" fontId="38" fillId="0" borderId="0" xfId="0" applyNumberFormat="1" applyFont="1"/>
    <xf numFmtId="0" fontId="38" fillId="0" borderId="21" xfId="0" applyFont="1" applyBorder="1" applyAlignment="1">
      <alignment horizontal="center"/>
    </xf>
    <xf numFmtId="0" fontId="91" fillId="0" borderId="0" xfId="0" applyFont="1"/>
    <xf numFmtId="0" fontId="57" fillId="0" borderId="0" xfId="0" applyFont="1"/>
    <xf numFmtId="173" fontId="37" fillId="0" borderId="0" xfId="0" applyNumberFormat="1" applyFont="1" applyAlignment="1">
      <alignment horizontal="center"/>
    </xf>
    <xf numFmtId="0" fontId="38" fillId="9" borderId="0" xfId="0" applyFont="1" applyFill="1"/>
    <xf numFmtId="4" fontId="38" fillId="0" borderId="0" xfId="0" applyNumberFormat="1" applyFont="1"/>
    <xf numFmtId="0" fontId="15" fillId="0" borderId="11"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6" fillId="0" borderId="0" xfId="0" applyFont="1" applyAlignment="1" applyProtection="1">
      <alignment horizontal="center" vertical="center"/>
      <protection locked="0"/>
    </xf>
    <xf numFmtId="0" fontId="39" fillId="0" borderId="0" xfId="0" applyFont="1" applyAlignment="1" applyProtection="1">
      <alignment horizontal="center" vertical="center"/>
      <protection locked="0"/>
    </xf>
    <xf numFmtId="0" fontId="34" fillId="0" borderId="0" xfId="0" applyFont="1" applyAlignment="1" applyProtection="1">
      <alignment horizontal="center" vertical="center"/>
      <protection locked="0"/>
    </xf>
    <xf numFmtId="0" fontId="76" fillId="6" borderId="11" xfId="0" applyFont="1" applyFill="1" applyBorder="1" applyAlignment="1">
      <alignment horizontal="center"/>
    </xf>
    <xf numFmtId="0" fontId="76" fillId="6" borderId="13" xfId="0" applyFont="1" applyFill="1" applyBorder="1" applyAlignment="1">
      <alignment horizontal="center"/>
    </xf>
    <xf numFmtId="0" fontId="76" fillId="0" borderId="0" xfId="148" applyFont="1" applyAlignment="1">
      <alignment horizontal="center"/>
    </xf>
    <xf numFmtId="0" fontId="76" fillId="7" borderId="42" xfId="0" applyFont="1" applyFill="1" applyBorder="1" applyAlignment="1">
      <alignment horizontal="center"/>
    </xf>
    <xf numFmtId="0" fontId="76" fillId="7" borderId="43" xfId="0" applyFont="1" applyFill="1" applyBorder="1" applyAlignment="1">
      <alignment horizontal="center"/>
    </xf>
    <xf numFmtId="0" fontId="78" fillId="3" borderId="27" xfId="0" applyFont="1" applyFill="1" applyBorder="1" applyAlignment="1">
      <alignment horizontal="center" wrapText="1"/>
    </xf>
    <xf numFmtId="0" fontId="78" fillId="3" borderId="22" xfId="0" applyFont="1" applyFill="1" applyBorder="1" applyAlignment="1">
      <alignment horizontal="center" wrapText="1"/>
    </xf>
    <xf numFmtId="0" fontId="33" fillId="0" borderId="0" xfId="0" applyFont="1" applyAlignment="1" applyProtection="1">
      <alignment horizontal="center" vertical="center"/>
      <protection locked="0"/>
    </xf>
    <xf numFmtId="0" fontId="30" fillId="0" borderId="11"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0" fillId="0" borderId="0" xfId="0" applyAlignment="1" applyProtection="1">
      <alignment vertical="center"/>
      <protection locked="0"/>
    </xf>
    <xf numFmtId="0" fontId="62" fillId="0" borderId="0" xfId="0" applyFont="1" applyAlignment="1" applyProtection="1">
      <alignment vertical="center"/>
      <protection locked="0"/>
    </xf>
    <xf numFmtId="0" fontId="15" fillId="0" borderId="0" xfId="0" applyFont="1" applyAlignment="1" applyProtection="1">
      <alignment vertical="center"/>
      <protection locked="0"/>
    </xf>
    <xf numFmtId="0" fontId="56" fillId="0" borderId="0" xfId="0" applyFont="1" applyAlignment="1" applyProtection="1">
      <alignment horizontal="center" vertical="center"/>
      <protection locked="0"/>
    </xf>
    <xf numFmtId="0" fontId="15" fillId="0" borderId="0" xfId="0" applyFont="1" applyAlignment="1" applyProtection="1">
      <alignment horizontal="left" vertical="center" wrapText="1"/>
      <protection locked="0"/>
    </xf>
    <xf numFmtId="0" fontId="29" fillId="0" borderId="0" xfId="0" applyFont="1" applyAlignment="1" applyProtection="1">
      <alignment horizontal="center" vertical="center"/>
      <protection locked="0"/>
    </xf>
    <xf numFmtId="0" fontId="39" fillId="0" borderId="0" xfId="6" applyFont="1" applyAlignment="1" applyProtection="1">
      <alignment horizontal="center" vertical="center"/>
      <protection locked="0"/>
    </xf>
    <xf numFmtId="0" fontId="15" fillId="0" borderId="11" xfId="0" applyFont="1" applyBorder="1" applyAlignment="1" applyProtection="1">
      <alignment horizontal="left" wrapText="1"/>
      <protection locked="0"/>
    </xf>
    <xf numFmtId="0" fontId="15" fillId="0" borderId="12" xfId="0" applyFont="1" applyBorder="1" applyAlignment="1" applyProtection="1">
      <alignment horizontal="left" wrapText="1"/>
      <protection locked="0"/>
    </xf>
    <xf numFmtId="0" fontId="15" fillId="0" borderId="13" xfId="0" applyFont="1" applyBorder="1" applyAlignment="1" applyProtection="1">
      <alignment horizontal="left" wrapText="1"/>
      <protection locked="0"/>
    </xf>
    <xf numFmtId="0" fontId="16" fillId="0" borderId="0" xfId="6" applyFont="1" applyAlignment="1" applyProtection="1">
      <alignment horizontal="center" vertical="center"/>
      <protection locked="0"/>
    </xf>
    <xf numFmtId="0" fontId="30" fillId="0" borderId="11" xfId="0" applyFont="1" applyBorder="1" applyAlignment="1" applyProtection="1">
      <alignment horizontal="left" wrapText="1"/>
      <protection locked="0"/>
    </xf>
    <xf numFmtId="0" fontId="30" fillId="0" borderId="12" xfId="0" applyFont="1" applyBorder="1" applyAlignment="1" applyProtection="1">
      <alignment horizontal="left" wrapText="1"/>
      <protection locked="0"/>
    </xf>
    <xf numFmtId="0" fontId="30" fillId="0" borderId="13" xfId="0" applyFont="1" applyBorder="1" applyAlignment="1" applyProtection="1">
      <alignment horizontal="left" wrapText="1"/>
      <protection locked="0"/>
    </xf>
    <xf numFmtId="0" fontId="15" fillId="0" borderId="11" xfId="0" applyFont="1" applyBorder="1" applyAlignment="1" applyProtection="1">
      <alignment vertical="center" wrapText="1"/>
      <protection locked="0"/>
    </xf>
    <xf numFmtId="0" fontId="15" fillId="0" borderId="12" xfId="0" applyFont="1" applyBorder="1" applyAlignment="1" applyProtection="1">
      <alignment vertical="center" wrapText="1"/>
      <protection locked="0"/>
    </xf>
    <xf numFmtId="0" fontId="15" fillId="0" borderId="13" xfId="0" applyFont="1" applyBorder="1" applyAlignment="1" applyProtection="1">
      <alignment vertical="center" wrapText="1"/>
      <protection locked="0"/>
    </xf>
    <xf numFmtId="0" fontId="30" fillId="0" borderId="11" xfId="6" applyFont="1" applyBorder="1" applyAlignment="1" applyProtection="1">
      <alignment horizontal="left" vertical="center" wrapText="1"/>
      <protection locked="0"/>
    </xf>
    <xf numFmtId="0" fontId="30" fillId="0" borderId="12" xfId="6" applyFont="1" applyBorder="1" applyAlignment="1" applyProtection="1">
      <alignment horizontal="left" vertical="center" wrapText="1"/>
      <protection locked="0"/>
    </xf>
    <xf numFmtId="0" fontId="30" fillId="0" borderId="13" xfId="6" applyFont="1" applyBorder="1" applyAlignment="1" applyProtection="1">
      <alignment horizontal="left" vertical="center" wrapText="1"/>
      <protection locked="0"/>
    </xf>
    <xf numFmtId="0" fontId="15" fillId="0" borderId="11" xfId="6" applyFont="1" applyBorder="1" applyAlignment="1" applyProtection="1">
      <alignment horizontal="left" vertical="center" wrapText="1"/>
      <protection locked="0"/>
    </xf>
    <xf numFmtId="0" fontId="15" fillId="0" borderId="12" xfId="6" applyFont="1" applyBorder="1" applyAlignment="1" applyProtection="1">
      <alignment horizontal="left" vertical="center" wrapText="1"/>
      <protection locked="0"/>
    </xf>
    <xf numFmtId="0" fontId="15" fillId="0" borderId="13" xfId="6" applyFont="1" applyBorder="1" applyAlignment="1" applyProtection="1">
      <alignment horizontal="left" vertical="center" wrapText="1"/>
      <protection locked="0"/>
    </xf>
    <xf numFmtId="0" fontId="15" fillId="0" borderId="21" xfId="0" applyFont="1" applyBorder="1" applyAlignment="1" applyProtection="1">
      <alignment vertical="center" wrapText="1"/>
      <protection locked="0"/>
    </xf>
    <xf numFmtId="0" fontId="25" fillId="0" borderId="11"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25" fillId="0" borderId="13" xfId="0" applyFont="1" applyBorder="1" applyAlignment="1" applyProtection="1">
      <alignment horizontal="left" vertical="center" wrapText="1"/>
      <protection locked="0"/>
    </xf>
    <xf numFmtId="0" fontId="15" fillId="0" borderId="27" xfId="0" applyFont="1" applyBorder="1" applyAlignment="1" applyProtection="1">
      <alignment horizontal="left" vertical="center" wrapText="1"/>
      <protection locked="0"/>
    </xf>
    <xf numFmtId="0" fontId="15" fillId="0" borderId="21" xfId="0" applyFont="1" applyBorder="1" applyAlignment="1" applyProtection="1">
      <alignment horizontal="left" vertical="center" wrapText="1"/>
      <protection locked="0"/>
    </xf>
    <xf numFmtId="0" fontId="15" fillId="0" borderId="22" xfId="0" applyFont="1" applyBorder="1" applyAlignment="1" applyProtection="1">
      <alignment horizontal="left" vertical="center" wrapText="1"/>
      <protection locked="0"/>
    </xf>
    <xf numFmtId="0" fontId="15" fillId="0" borderId="25" xfId="0" applyFont="1" applyBorder="1" applyAlignment="1" applyProtection="1">
      <alignment horizontal="left" vertical="center" wrapText="1"/>
      <protection locked="0"/>
    </xf>
    <xf numFmtId="0" fontId="15" fillId="0" borderId="18" xfId="0" applyFont="1" applyBorder="1" applyAlignment="1" applyProtection="1">
      <alignment horizontal="left" vertical="center" wrapText="1"/>
      <protection locked="0"/>
    </xf>
    <xf numFmtId="0" fontId="15" fillId="0" borderId="23" xfId="0" applyFont="1" applyBorder="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16" fillId="0" borderId="0" xfId="2" applyFont="1" applyAlignment="1" applyProtection="1">
      <alignment horizontal="center" vertical="center"/>
      <protection locked="0"/>
    </xf>
    <xf numFmtId="0" fontId="39" fillId="0" borderId="0" xfId="2" applyFont="1" applyAlignment="1" applyProtection="1">
      <alignment horizontal="center" vertical="center"/>
      <protection locked="0"/>
    </xf>
    <xf numFmtId="0" fontId="34" fillId="0" borderId="0" xfId="75" applyFont="1" applyAlignment="1" applyProtection="1">
      <alignment horizontal="center"/>
      <protection locked="0"/>
    </xf>
    <xf numFmtId="0" fontId="67" fillId="0" borderId="0" xfId="74" applyFont="1" applyAlignment="1" applyProtection="1">
      <alignment horizontal="center"/>
      <protection locked="0"/>
    </xf>
    <xf numFmtId="0" fontId="34" fillId="0" borderId="0" xfId="71" applyFont="1" applyAlignment="1" applyProtection="1">
      <alignment horizontal="center"/>
      <protection locked="0"/>
    </xf>
    <xf numFmtId="0" fontId="34" fillId="0" borderId="0" xfId="7" applyFont="1" applyAlignment="1" applyProtection="1">
      <alignment horizontal="center"/>
      <protection locked="0"/>
    </xf>
  </cellXfs>
  <cellStyles count="149">
    <cellStyle name="Comma" xfId="5" builtinId="3"/>
    <cellStyle name="Comma 2" xfId="9" xr:uid="{00000000-0005-0000-0000-000001000000}"/>
    <cellStyle name="Comma 3" xfId="68" xr:uid="{00000000-0005-0000-0000-000002000000}"/>
    <cellStyle name="Comma 4" xfId="144" xr:uid="{E09993B7-2341-4857-BD11-CFBE4A3F166F}"/>
    <cellStyle name="Currency" xfId="1" builtinId="4" customBuiltin="1"/>
    <cellStyle name="Currency 2" xfId="4" xr:uid="{00000000-0005-0000-0000-000004000000}"/>
    <cellStyle name="Currency 3" xfId="8" xr:uid="{00000000-0005-0000-0000-000005000000}"/>
    <cellStyle name="Currency 3 2" xfId="14" xr:uid="{00000000-0005-0000-0000-000006000000}"/>
    <cellStyle name="Currency 3 2 2" xfId="21" xr:uid="{00000000-0005-0000-0000-000007000000}"/>
    <cellStyle name="Currency 3 2 2 2" xfId="24" xr:uid="{00000000-0005-0000-0000-000008000000}"/>
    <cellStyle name="Currency 3 2 2 2 2" xfId="43" xr:uid="{00000000-0005-0000-0000-000009000000}"/>
    <cellStyle name="Currency 3 2 2 2 2 2" xfId="113" xr:uid="{7CF04E6D-DE50-48B3-B73D-67D2B28E6D91}"/>
    <cellStyle name="Currency 3 2 2 2 3" xfId="95" xr:uid="{069F55EB-440F-4C24-B0DB-3723ABC4FFA8}"/>
    <cellStyle name="Currency 3 2 2 3" xfId="42" xr:uid="{00000000-0005-0000-0000-00000A000000}"/>
    <cellStyle name="Currency 3 2 2 3 2" xfId="112" xr:uid="{C6DA684F-E53F-46A3-86FD-89D6D216ED6E}"/>
    <cellStyle name="Currency 3 2 2 4" xfId="92" xr:uid="{22D08847-A55C-4370-958D-D44A55B43B2B}"/>
    <cellStyle name="Currency 3 2 3" xfId="23" xr:uid="{00000000-0005-0000-0000-00000B000000}"/>
    <cellStyle name="Currency 3 2 3 2" xfId="44" xr:uid="{00000000-0005-0000-0000-00000C000000}"/>
    <cellStyle name="Currency 3 2 3 2 2" xfId="114" xr:uid="{AF9927E0-A5D5-443B-9CA3-0DBF817BD7AC}"/>
    <cellStyle name="Currency 3 2 3 3" xfId="94" xr:uid="{1A5DC990-90BB-4D82-A555-BC7DB0790E3E}"/>
    <cellStyle name="Currency 3 2 4" xfId="40" xr:uid="{00000000-0005-0000-0000-00000D000000}"/>
    <cellStyle name="Currency 3 2 4 2" xfId="110" xr:uid="{838165AF-A2BB-4AE2-9025-465C2506781F}"/>
    <cellStyle name="Currency 3 2 5" xfId="72" xr:uid="{00000000-0005-0000-0000-00000E000000}"/>
    <cellStyle name="Currency 3 2 5 2" xfId="138" xr:uid="{5C855F1E-6D5A-4C5E-976E-7293D3FB8AA1}"/>
    <cellStyle name="Currency 3 2 6" xfId="85" xr:uid="{F9B7D210-C15C-494F-9D85-879E41C30CF7}"/>
    <cellStyle name="Currency 3 3" xfId="16" xr:uid="{00000000-0005-0000-0000-00000F000000}"/>
    <cellStyle name="Currency 3 3 2" xfId="25" xr:uid="{00000000-0005-0000-0000-000010000000}"/>
    <cellStyle name="Currency 3 3 2 2" xfId="46" xr:uid="{00000000-0005-0000-0000-000011000000}"/>
    <cellStyle name="Currency 3 3 2 2 2" xfId="116" xr:uid="{FB093C08-C4C3-4531-8A2B-F5BFE22766E2}"/>
    <cellStyle name="Currency 3 3 2 3" xfId="96" xr:uid="{3ED7F311-BD79-4330-B7DB-3622173A2572}"/>
    <cellStyle name="Currency 3 3 3" xfId="45" xr:uid="{00000000-0005-0000-0000-000012000000}"/>
    <cellStyle name="Currency 3 3 3 2" xfId="115" xr:uid="{CE24497A-96BA-4BCB-BAD8-847B893F072E}"/>
    <cellStyle name="Currency 3 3 4" xfId="87" xr:uid="{647CC111-411C-4030-89C7-ECD0AFDF9B93}"/>
    <cellStyle name="Currency 3 4" xfId="22" xr:uid="{00000000-0005-0000-0000-000013000000}"/>
    <cellStyle name="Currency 3 4 2" xfId="47" xr:uid="{00000000-0005-0000-0000-000014000000}"/>
    <cellStyle name="Currency 3 4 2 2" xfId="117" xr:uid="{75B6DB86-78D5-4BED-8DE1-8F2E0F7F49F4}"/>
    <cellStyle name="Currency 3 4 3" xfId="93" xr:uid="{16787535-2460-4D9E-8628-585AE5660ED9}"/>
    <cellStyle name="Currency 3 5" xfId="41" xr:uid="{00000000-0005-0000-0000-000015000000}"/>
    <cellStyle name="Currency 3 5 2" xfId="111" xr:uid="{9BCF2DB0-5FBF-417F-A70B-7F15240597FE}"/>
    <cellStyle name="Currency 3 6" xfId="80" xr:uid="{87E3037B-6450-477D-B928-609D9E64251B}"/>
    <cellStyle name="Currency 4" xfId="11" xr:uid="{00000000-0005-0000-0000-000016000000}"/>
    <cellStyle name="Currency 4 2" xfId="18" xr:uid="{00000000-0005-0000-0000-000017000000}"/>
    <cellStyle name="Currency 4 2 2" xfId="27" xr:uid="{00000000-0005-0000-0000-000018000000}"/>
    <cellStyle name="Currency 4 2 2 2" xfId="50" xr:uid="{00000000-0005-0000-0000-000019000000}"/>
    <cellStyle name="Currency 4 2 2 2 2" xfId="120" xr:uid="{E3B828AA-10DA-40B4-BFF9-2D4B2289D3F5}"/>
    <cellStyle name="Currency 4 2 2 3" xfId="98" xr:uid="{AE886D94-5AF4-4534-9BE2-1982DE2AE0D1}"/>
    <cellStyle name="Currency 4 2 3" xfId="49" xr:uid="{00000000-0005-0000-0000-00001A000000}"/>
    <cellStyle name="Currency 4 2 3 2" xfId="119" xr:uid="{4E71488D-1112-4ECA-ACD0-3C8F3E7FEA5E}"/>
    <cellStyle name="Currency 4 2 4" xfId="89" xr:uid="{537DDFCF-7A00-40DC-A4EB-BA5D83610F2C}"/>
    <cellStyle name="Currency 4 3" xfId="26" xr:uid="{00000000-0005-0000-0000-00001B000000}"/>
    <cellStyle name="Currency 4 3 2" xfId="51" xr:uid="{00000000-0005-0000-0000-00001C000000}"/>
    <cellStyle name="Currency 4 3 2 2" xfId="121" xr:uid="{1740AAA6-E5B5-4CC8-AEF2-0FC8F7929DA2}"/>
    <cellStyle name="Currency 4 3 3" xfId="97" xr:uid="{0C10295B-F930-4A35-9176-DDB586D4160C}"/>
    <cellStyle name="Currency 4 4" xfId="48" xr:uid="{00000000-0005-0000-0000-00001D000000}"/>
    <cellStyle name="Currency 4 4 2" xfId="118" xr:uid="{115ABA01-AC17-4C67-980F-620C633E6A7F}"/>
    <cellStyle name="Currency 4 5" xfId="82" xr:uid="{428CB06C-6823-4C56-9CBA-240A611E5D17}"/>
    <cellStyle name="Currency 5" xfId="13" xr:uid="{00000000-0005-0000-0000-00001E000000}"/>
    <cellStyle name="Currency 5 2" xfId="20" xr:uid="{00000000-0005-0000-0000-00001F000000}"/>
    <cellStyle name="Currency 5 2 2" xfId="29" xr:uid="{00000000-0005-0000-0000-000020000000}"/>
    <cellStyle name="Currency 5 2 2 2" xfId="53" xr:uid="{00000000-0005-0000-0000-000021000000}"/>
    <cellStyle name="Currency 5 2 2 2 2" xfId="123" xr:uid="{97B7D38B-8385-4637-BC2E-10F389E10B40}"/>
    <cellStyle name="Currency 5 2 2 3" xfId="100" xr:uid="{B060EACF-EB69-42C9-BB5B-B6477980169D}"/>
    <cellStyle name="Currency 5 2 3" xfId="52" xr:uid="{00000000-0005-0000-0000-000022000000}"/>
    <cellStyle name="Currency 5 2 3 2" xfId="122" xr:uid="{4A07AFC0-5856-4D02-BEC3-5A9F313540EC}"/>
    <cellStyle name="Currency 5 2 4" xfId="91" xr:uid="{0A308422-CDC3-48C6-A54B-1F823BE64887}"/>
    <cellStyle name="Currency 5 3" xfId="28" xr:uid="{00000000-0005-0000-0000-000023000000}"/>
    <cellStyle name="Currency 5 3 2" xfId="54" xr:uid="{00000000-0005-0000-0000-000024000000}"/>
    <cellStyle name="Currency 5 3 2 2" xfId="124" xr:uid="{BB660BF2-43A3-45F3-A502-E31542C42278}"/>
    <cellStyle name="Currency 5 3 3" xfId="99" xr:uid="{403A5020-001C-4E9D-8509-DBCDA5121554}"/>
    <cellStyle name="Currency 5 4" xfId="39" xr:uid="{00000000-0005-0000-0000-000025000000}"/>
    <cellStyle name="Currency 5 4 2" xfId="109" xr:uid="{FAF78A6C-858A-46B7-8CEB-44E0C657B288}"/>
    <cellStyle name="Currency 5 5" xfId="77" xr:uid="{A2CDA606-5B61-4E89-A9A7-3D39DE161C44}"/>
    <cellStyle name="Currency 5 5 2" xfId="143" xr:uid="{1E87B5FC-FD94-44F2-880D-B4EA5275551A}"/>
    <cellStyle name="Currency 5 6" xfId="84" xr:uid="{F2350804-FCF4-4170-863B-EE49BE2128E2}"/>
    <cellStyle name="Currency 5 7" xfId="146" xr:uid="{7629FBB4-531A-44B0-9798-188F96E24193}"/>
    <cellStyle name="Currency 6" xfId="69" xr:uid="{00000000-0005-0000-0000-000026000000}"/>
    <cellStyle name="Hyperlink" xfId="147" builtinId="8"/>
    <cellStyle name="Normal" xfId="0" builtinId="0" customBuiltin="1"/>
    <cellStyle name="Normal 2" xfId="6" xr:uid="{00000000-0005-0000-0000-000028000000}"/>
    <cellStyle name="Normal 3" xfId="7" xr:uid="{00000000-0005-0000-0000-000029000000}"/>
    <cellStyle name="Normal 3 2" xfId="10" xr:uid="{00000000-0005-0000-0000-00002A000000}"/>
    <cellStyle name="Normal 3 2 2" xfId="17" xr:uid="{00000000-0005-0000-0000-00002B000000}"/>
    <cellStyle name="Normal 3 2 2 2" xfId="32" xr:uid="{00000000-0005-0000-0000-00002C000000}"/>
    <cellStyle name="Normal 3 2 2 2 2" xfId="58" xr:uid="{00000000-0005-0000-0000-00002D000000}"/>
    <cellStyle name="Normal 3 2 2 2 2 2" xfId="128" xr:uid="{241C07E2-35A2-4C1D-967B-F73720FD0B1C}"/>
    <cellStyle name="Normal 3 2 2 2 3" xfId="103" xr:uid="{F3678B7C-4188-415F-BADE-B079BB8227C4}"/>
    <cellStyle name="Normal 3 2 2 3" xfId="57" xr:uid="{00000000-0005-0000-0000-00002E000000}"/>
    <cellStyle name="Normal 3 2 2 3 2" xfId="127" xr:uid="{FF853A5B-A22C-40DE-B828-953415EA2CC7}"/>
    <cellStyle name="Normal 3 2 2 4" xfId="88" xr:uid="{7FD96BE3-5535-42CB-B87D-FFF173B938F2}"/>
    <cellStyle name="Normal 3 2 3" xfId="31" xr:uid="{00000000-0005-0000-0000-00002F000000}"/>
    <cellStyle name="Normal 3 2 3 2" xfId="59" xr:uid="{00000000-0005-0000-0000-000030000000}"/>
    <cellStyle name="Normal 3 2 3 2 2" xfId="129" xr:uid="{DABCA763-BDB2-483C-A833-49E2314AE678}"/>
    <cellStyle name="Normal 3 2 3 3" xfId="102" xr:uid="{FA501C53-55E7-4BEC-98DD-EAC025B9F88A}"/>
    <cellStyle name="Normal 3 2 4" xfId="56" xr:uid="{00000000-0005-0000-0000-000031000000}"/>
    <cellStyle name="Normal 3 2 4 2" xfId="126" xr:uid="{776E1372-90D2-4122-AAB3-D26A1DDB9D8C}"/>
    <cellStyle name="Normal 3 2 5" xfId="81" xr:uid="{36296DCC-A27E-48F3-9B2E-06891001E4BE}"/>
    <cellStyle name="Normal 3 3" xfId="12" xr:uid="{00000000-0005-0000-0000-000032000000}"/>
    <cellStyle name="Normal 3 3 2" xfId="19" xr:uid="{00000000-0005-0000-0000-000033000000}"/>
    <cellStyle name="Normal 3 3 2 2" xfId="34" xr:uid="{00000000-0005-0000-0000-000034000000}"/>
    <cellStyle name="Normal 3 3 2 2 2" xfId="61" xr:uid="{00000000-0005-0000-0000-000035000000}"/>
    <cellStyle name="Normal 3 3 2 2 2 2" xfId="75" xr:uid="{00000000-0005-0000-0000-000036000000}"/>
    <cellStyle name="Normal 3 3 2 2 2 2 2" xfId="141" xr:uid="{2D890340-6A23-456C-A08E-BD2516CA3AE0}"/>
    <cellStyle name="Normal 3 3 2 2 2 3" xfId="131" xr:uid="{92E4B73B-E355-4CB3-A94D-B0B2FC511A65}"/>
    <cellStyle name="Normal 3 3 2 2 3" xfId="105" xr:uid="{96ECD29C-D9DC-4175-9A7C-637E4591445E}"/>
    <cellStyle name="Normal 3 3 2 3" xfId="60" xr:uid="{00000000-0005-0000-0000-000037000000}"/>
    <cellStyle name="Normal 3 3 2 3 2" xfId="130" xr:uid="{E20FF135-BC31-4A5D-B4D4-7A8936AD529B}"/>
    <cellStyle name="Normal 3 3 2 4" xfId="90" xr:uid="{9D4D8FB5-4A21-41BC-ADF4-E2F748F5760D}"/>
    <cellStyle name="Normal 3 3 3" xfId="33" xr:uid="{00000000-0005-0000-0000-000038000000}"/>
    <cellStyle name="Normal 3 3 3 2" xfId="62" xr:uid="{00000000-0005-0000-0000-000039000000}"/>
    <cellStyle name="Normal 3 3 3 2 2" xfId="132" xr:uid="{E67D0D90-BC41-4CF7-B21D-13BCEB44A125}"/>
    <cellStyle name="Normal 3 3 3 3" xfId="104" xr:uid="{B98D4A25-0672-4382-A063-031B1F344A2C}"/>
    <cellStyle name="Normal 3 3 4" xfId="38" xr:uid="{00000000-0005-0000-0000-00003A000000}"/>
    <cellStyle name="Normal 3 3 4 2" xfId="108" xr:uid="{548325A6-777B-4200-BFF1-3163A878C411}"/>
    <cellStyle name="Normal 3 3 5" xfId="71" xr:uid="{00000000-0005-0000-0000-00003B000000}"/>
    <cellStyle name="Normal 3 3 5 2" xfId="137" xr:uid="{AF00AFF2-FEFD-4E95-A7C9-262E2237DB59}"/>
    <cellStyle name="Normal 3 3 6" xfId="76" xr:uid="{5E639CAF-A744-438B-821F-179DC04BA4FA}"/>
    <cellStyle name="Normal 3 3 6 2" xfId="142" xr:uid="{E6ED8293-A1E9-4EE8-A659-BD5B591C9351}"/>
    <cellStyle name="Normal 3 3 7" xfId="83" xr:uid="{E3604484-0759-463A-B92C-12D9B2261CEE}"/>
    <cellStyle name="Normal 3 3 8" xfId="145" xr:uid="{C4D97410-1359-4742-9D27-300FB294975F}"/>
    <cellStyle name="Normal 3 4" xfId="15" xr:uid="{00000000-0005-0000-0000-00003C000000}"/>
    <cellStyle name="Normal 3 4 2" xfId="35" xr:uid="{00000000-0005-0000-0000-00003D000000}"/>
    <cellStyle name="Normal 3 4 2 2" xfId="64" xr:uid="{00000000-0005-0000-0000-00003E000000}"/>
    <cellStyle name="Normal 3 4 2 2 2" xfId="134" xr:uid="{4B943DD8-B737-4D42-8EAE-17403900FF33}"/>
    <cellStyle name="Normal 3 4 2 3" xfId="106" xr:uid="{4A956414-5B51-4DE9-9246-F48BD9812D45}"/>
    <cellStyle name="Normal 3 4 3" xfId="63" xr:uid="{00000000-0005-0000-0000-00003F000000}"/>
    <cellStyle name="Normal 3 4 3 2" xfId="133" xr:uid="{7866B138-DA4D-4664-AD94-2EE44AA8464B}"/>
    <cellStyle name="Normal 3 4 4" xfId="86" xr:uid="{A83E6D80-63AA-4C53-A7C1-44F3752B0A5E}"/>
    <cellStyle name="Normal 3 5" xfId="30" xr:uid="{00000000-0005-0000-0000-000040000000}"/>
    <cellStyle name="Normal 3 5 2" xfId="65" xr:uid="{00000000-0005-0000-0000-000041000000}"/>
    <cellStyle name="Normal 3 5 2 2" xfId="135" xr:uid="{2A97B4F6-8A94-41F6-94FE-F3785BED007D}"/>
    <cellStyle name="Normal 3 5 3" xfId="101" xr:uid="{8B461DCE-BA3A-4694-B921-E05E3E34AEC7}"/>
    <cellStyle name="Normal 3 6" xfId="55" xr:uid="{00000000-0005-0000-0000-000042000000}"/>
    <cellStyle name="Normal 3 6 2" xfId="125" xr:uid="{2ABF89DB-FC85-4E33-BF76-DBFDBE79AA36}"/>
    <cellStyle name="Normal 3 7" xfId="74" xr:uid="{00000000-0005-0000-0000-000043000000}"/>
    <cellStyle name="Normal 3 7 2" xfId="140" xr:uid="{21CE35F8-897B-45E7-86F1-191D2F79BB7D}"/>
    <cellStyle name="Normal 3 8" xfId="79" xr:uid="{106F6F92-BA9C-41F1-BC20-A103EBD63AD4}"/>
    <cellStyle name="Normal 4" xfId="37" xr:uid="{00000000-0005-0000-0000-000044000000}"/>
    <cellStyle name="Normal 4 2" xfId="107" xr:uid="{445FEE91-367A-4F1F-810B-5D5A6EE309B3}"/>
    <cellStyle name="Normal 5" xfId="66" xr:uid="{00000000-0005-0000-0000-000045000000}"/>
    <cellStyle name="Normal 5 2" xfId="67" xr:uid="{00000000-0005-0000-0000-000046000000}"/>
    <cellStyle name="Normal 5 3" xfId="136" xr:uid="{0A68E67B-EA4E-4D14-AC28-5BC3EA959BD2}"/>
    <cellStyle name="Normal 6" xfId="78" xr:uid="{F9018288-D925-4089-A55F-8EFAFDEFA048}"/>
    <cellStyle name="Normal 7" xfId="148" xr:uid="{6DF2AC37-DDA7-41D0-8549-CD939AF61D1D}"/>
    <cellStyle name="Normal_Sheet1" xfId="2" xr:uid="{00000000-0005-0000-0000-000047000000}"/>
    <cellStyle name="Normal_Sheet2" xfId="3" xr:uid="{00000000-0005-0000-0000-000048000000}"/>
    <cellStyle name="Percent" xfId="36" builtinId="5"/>
    <cellStyle name="Percent 2" xfId="70" xr:uid="{00000000-0005-0000-0000-00004A000000}"/>
    <cellStyle name="Percent 3" xfId="73" xr:uid="{00000000-0005-0000-0000-00004B000000}"/>
    <cellStyle name="Percent 3 2" xfId="139" xr:uid="{B26518A9-845A-48BC-81B6-A02F34328DBB}"/>
  </cellStyles>
  <dxfs count="1">
    <dxf>
      <border>
        <top style="thin">
          <color rgb="FF3333FF"/>
        </top>
        <vertical/>
        <horizontal/>
      </border>
    </dxf>
  </dxfs>
  <tableStyles count="0" defaultTableStyle="TableStyleMedium2" defaultPivotStyle="PivotStyleLight16"/>
  <colors>
    <mruColors>
      <color rgb="FFFFFFCC"/>
      <color rgb="FF0000FF"/>
      <color rgb="FF3333FF"/>
      <color rgb="FF00CC00"/>
      <color rgb="FFCC6C20"/>
      <color rgb="FF369992"/>
      <color rgb="FFCCFFCC"/>
      <color rgb="FF8064A2"/>
      <color rgb="FF3366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1.xml"/><Relationship Id="rId99" Type="http://schemas.openxmlformats.org/officeDocument/2006/relationships/sheetMetadata" Target="metadata.xml"/><Relationship Id="rId10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png"/><Relationship Id="rId18" Type="http://schemas.openxmlformats.org/officeDocument/2006/relationships/image" Target="../media/image25.png"/><Relationship Id="rId3" Type="http://schemas.openxmlformats.org/officeDocument/2006/relationships/image" Target="../media/image10.png"/><Relationship Id="rId21" Type="http://schemas.openxmlformats.org/officeDocument/2006/relationships/image" Target="../media/image28.png"/><Relationship Id="rId7" Type="http://schemas.openxmlformats.org/officeDocument/2006/relationships/image" Target="../media/image14.png"/><Relationship Id="rId12" Type="http://schemas.openxmlformats.org/officeDocument/2006/relationships/image" Target="../media/image19.png"/><Relationship Id="rId17" Type="http://schemas.openxmlformats.org/officeDocument/2006/relationships/image" Target="../media/image24.png"/><Relationship Id="rId2" Type="http://schemas.openxmlformats.org/officeDocument/2006/relationships/image" Target="../media/image9.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8.png"/><Relationship Id="rId6" Type="http://schemas.openxmlformats.org/officeDocument/2006/relationships/image" Target="../media/image13.png"/><Relationship Id="rId11" Type="http://schemas.openxmlformats.org/officeDocument/2006/relationships/image" Target="../media/image18.png"/><Relationship Id="rId24" Type="http://schemas.openxmlformats.org/officeDocument/2006/relationships/image" Target="../media/image31.png"/><Relationship Id="rId5" Type="http://schemas.openxmlformats.org/officeDocument/2006/relationships/image" Target="../media/image12.png"/><Relationship Id="rId15" Type="http://schemas.openxmlformats.org/officeDocument/2006/relationships/image" Target="../media/image22.png"/><Relationship Id="rId23" Type="http://schemas.openxmlformats.org/officeDocument/2006/relationships/image" Target="../media/image30.png"/><Relationship Id="rId10" Type="http://schemas.openxmlformats.org/officeDocument/2006/relationships/image" Target="../media/image17.png"/><Relationship Id="rId19" Type="http://schemas.openxmlformats.org/officeDocument/2006/relationships/image" Target="../media/image26.png"/><Relationship Id="rId4" Type="http://schemas.openxmlformats.org/officeDocument/2006/relationships/image" Target="../media/image11.png"/><Relationship Id="rId9" Type="http://schemas.openxmlformats.org/officeDocument/2006/relationships/image" Target="../media/image16.png"/><Relationship Id="rId14" Type="http://schemas.openxmlformats.org/officeDocument/2006/relationships/image" Target="../media/image21.png"/><Relationship Id="rId22"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5</xdr:row>
      <xdr:rowOff>66675</xdr:rowOff>
    </xdr:from>
    <xdr:to>
      <xdr:col>1</xdr:col>
      <xdr:colOff>2504860</xdr:colOff>
      <xdr:row>9</xdr:row>
      <xdr:rowOff>44450</xdr:rowOff>
    </xdr:to>
    <xdr:pic>
      <xdr:nvPicPr>
        <xdr:cNvPr id="2" name="Picture 1">
          <a:extLst>
            <a:ext uri="{FF2B5EF4-FFF2-40B4-BE49-F238E27FC236}">
              <a16:creationId xmlns:a16="http://schemas.microsoft.com/office/drawing/2014/main" id="{E7EC1F43-33BE-46DE-B7BB-66C4CB55B76E}"/>
            </a:ext>
          </a:extLst>
        </xdr:cNvPr>
        <xdr:cNvPicPr>
          <a:picLocks noChangeAspect="1"/>
        </xdr:cNvPicPr>
      </xdr:nvPicPr>
      <xdr:blipFill>
        <a:blip xmlns:r="http://schemas.openxmlformats.org/officeDocument/2006/relationships" r:embed="rId1"/>
        <a:stretch>
          <a:fillRect/>
        </a:stretch>
      </xdr:blipFill>
      <xdr:spPr>
        <a:xfrm>
          <a:off x="635000" y="1139825"/>
          <a:ext cx="2292135" cy="784225"/>
        </a:xfrm>
        <a:prstGeom prst="rect">
          <a:avLst/>
        </a:prstGeom>
      </xdr:spPr>
    </xdr:pic>
    <xdr:clientData/>
  </xdr:twoCellAnchor>
  <xdr:twoCellAnchor editAs="oneCell">
    <xdr:from>
      <xdr:col>0</xdr:col>
      <xdr:colOff>476075</xdr:colOff>
      <xdr:row>11</xdr:row>
      <xdr:rowOff>9525</xdr:rowOff>
    </xdr:from>
    <xdr:to>
      <xdr:col>1</xdr:col>
      <xdr:colOff>2863850</xdr:colOff>
      <xdr:row>20</xdr:row>
      <xdr:rowOff>178426</xdr:rowOff>
    </xdr:to>
    <xdr:pic>
      <xdr:nvPicPr>
        <xdr:cNvPr id="3" name="Picture 2">
          <a:extLst>
            <a:ext uri="{FF2B5EF4-FFF2-40B4-BE49-F238E27FC236}">
              <a16:creationId xmlns:a16="http://schemas.microsoft.com/office/drawing/2014/main" id="{84E36FF6-B8F3-4B86-83BC-C9570A317503}"/>
            </a:ext>
          </a:extLst>
        </xdr:cNvPr>
        <xdr:cNvPicPr>
          <a:picLocks noChangeAspect="1"/>
        </xdr:cNvPicPr>
      </xdr:nvPicPr>
      <xdr:blipFill>
        <a:blip xmlns:r="http://schemas.openxmlformats.org/officeDocument/2006/relationships" r:embed="rId2"/>
        <a:stretch>
          <a:fillRect/>
        </a:stretch>
      </xdr:blipFill>
      <xdr:spPr>
        <a:xfrm>
          <a:off x="418925" y="2282825"/>
          <a:ext cx="2867200" cy="1975476"/>
        </a:xfrm>
        <a:prstGeom prst="rect">
          <a:avLst/>
        </a:prstGeom>
      </xdr:spPr>
    </xdr:pic>
    <xdr:clientData/>
  </xdr:twoCellAnchor>
  <xdr:twoCellAnchor editAs="oneCell">
    <xdr:from>
      <xdr:col>1</xdr:col>
      <xdr:colOff>0</xdr:colOff>
      <xdr:row>25</xdr:row>
      <xdr:rowOff>19048</xdr:rowOff>
    </xdr:from>
    <xdr:to>
      <xdr:col>1</xdr:col>
      <xdr:colOff>2495550</xdr:colOff>
      <xdr:row>35</xdr:row>
      <xdr:rowOff>188731</xdr:rowOff>
    </xdr:to>
    <xdr:pic>
      <xdr:nvPicPr>
        <xdr:cNvPr id="4" name="Picture 3">
          <a:extLst>
            <a:ext uri="{FF2B5EF4-FFF2-40B4-BE49-F238E27FC236}">
              <a16:creationId xmlns:a16="http://schemas.microsoft.com/office/drawing/2014/main" id="{959925AF-2D9C-48D1-B02A-99AE196EA7EC}"/>
            </a:ext>
          </a:extLst>
        </xdr:cNvPr>
        <xdr:cNvPicPr>
          <a:picLocks noChangeAspect="1"/>
        </xdr:cNvPicPr>
      </xdr:nvPicPr>
      <xdr:blipFill>
        <a:blip xmlns:r="http://schemas.openxmlformats.org/officeDocument/2006/relationships" r:embed="rId3"/>
        <a:stretch>
          <a:fillRect/>
        </a:stretch>
      </xdr:blipFill>
      <xdr:spPr>
        <a:xfrm>
          <a:off x="419100" y="5095873"/>
          <a:ext cx="2495550" cy="2169933"/>
        </a:xfrm>
        <a:prstGeom prst="rect">
          <a:avLst/>
        </a:prstGeom>
      </xdr:spPr>
    </xdr:pic>
    <xdr:clientData/>
  </xdr:twoCellAnchor>
  <xdr:twoCellAnchor editAs="oneCell">
    <xdr:from>
      <xdr:col>5</xdr:col>
      <xdr:colOff>0</xdr:colOff>
      <xdr:row>7</xdr:row>
      <xdr:rowOff>6350</xdr:rowOff>
    </xdr:from>
    <xdr:to>
      <xdr:col>5</xdr:col>
      <xdr:colOff>2143125</xdr:colOff>
      <xdr:row>11</xdr:row>
      <xdr:rowOff>179080</xdr:rowOff>
    </xdr:to>
    <xdr:pic>
      <xdr:nvPicPr>
        <xdr:cNvPr id="5" name="Picture 4">
          <a:extLst>
            <a:ext uri="{FF2B5EF4-FFF2-40B4-BE49-F238E27FC236}">
              <a16:creationId xmlns:a16="http://schemas.microsoft.com/office/drawing/2014/main" id="{CAF42762-8B7F-4086-8DD4-3E852BC3EF87}"/>
            </a:ext>
          </a:extLst>
        </xdr:cNvPr>
        <xdr:cNvPicPr>
          <a:picLocks noChangeAspect="1"/>
        </xdr:cNvPicPr>
      </xdr:nvPicPr>
      <xdr:blipFill>
        <a:blip xmlns:r="http://schemas.openxmlformats.org/officeDocument/2006/relationships" r:embed="rId4"/>
        <a:stretch>
          <a:fillRect/>
        </a:stretch>
      </xdr:blipFill>
      <xdr:spPr>
        <a:xfrm>
          <a:off x="5657850" y="1485900"/>
          <a:ext cx="2139950" cy="972830"/>
        </a:xfrm>
        <a:prstGeom prst="rect">
          <a:avLst/>
        </a:prstGeom>
      </xdr:spPr>
    </xdr:pic>
    <xdr:clientData/>
  </xdr:twoCellAnchor>
  <xdr:twoCellAnchor editAs="oneCell">
    <xdr:from>
      <xdr:col>5</xdr:col>
      <xdr:colOff>38100</xdr:colOff>
      <xdr:row>31</xdr:row>
      <xdr:rowOff>38100</xdr:rowOff>
    </xdr:from>
    <xdr:to>
      <xdr:col>5</xdr:col>
      <xdr:colOff>1573213</xdr:colOff>
      <xdr:row>35</xdr:row>
      <xdr:rowOff>139700</xdr:rowOff>
    </xdr:to>
    <xdr:pic>
      <xdr:nvPicPr>
        <xdr:cNvPr id="6" name="Picture 5">
          <a:extLst>
            <a:ext uri="{FF2B5EF4-FFF2-40B4-BE49-F238E27FC236}">
              <a16:creationId xmlns:a16="http://schemas.microsoft.com/office/drawing/2014/main" id="{06FE4792-0F46-4AC5-8586-7C0E277A7DA2}"/>
            </a:ext>
          </a:extLst>
        </xdr:cNvPr>
        <xdr:cNvPicPr>
          <a:picLocks noChangeAspect="1"/>
        </xdr:cNvPicPr>
      </xdr:nvPicPr>
      <xdr:blipFill>
        <a:blip xmlns:r="http://schemas.openxmlformats.org/officeDocument/2006/relationships" r:embed="rId5"/>
        <a:stretch>
          <a:fillRect/>
        </a:stretch>
      </xdr:blipFill>
      <xdr:spPr>
        <a:xfrm>
          <a:off x="5695950" y="6315075"/>
          <a:ext cx="1531938" cy="904875"/>
        </a:xfrm>
        <a:prstGeom prst="rect">
          <a:avLst/>
        </a:prstGeom>
      </xdr:spPr>
    </xdr:pic>
    <xdr:clientData/>
  </xdr:twoCellAnchor>
  <xdr:twoCellAnchor editAs="oneCell">
    <xdr:from>
      <xdr:col>5</xdr:col>
      <xdr:colOff>38100</xdr:colOff>
      <xdr:row>53</xdr:row>
      <xdr:rowOff>0</xdr:rowOff>
    </xdr:from>
    <xdr:to>
      <xdr:col>5</xdr:col>
      <xdr:colOff>1733550</xdr:colOff>
      <xdr:row>59</xdr:row>
      <xdr:rowOff>7010</xdr:rowOff>
    </xdr:to>
    <xdr:pic>
      <xdr:nvPicPr>
        <xdr:cNvPr id="7" name="Picture 6">
          <a:extLst>
            <a:ext uri="{FF2B5EF4-FFF2-40B4-BE49-F238E27FC236}">
              <a16:creationId xmlns:a16="http://schemas.microsoft.com/office/drawing/2014/main" id="{79C1796F-773D-4498-9EEE-B03992368D5D}"/>
            </a:ext>
          </a:extLst>
        </xdr:cNvPr>
        <xdr:cNvPicPr>
          <a:picLocks noChangeAspect="1"/>
        </xdr:cNvPicPr>
      </xdr:nvPicPr>
      <xdr:blipFill>
        <a:blip xmlns:r="http://schemas.openxmlformats.org/officeDocument/2006/relationships" r:embed="rId6"/>
        <a:stretch>
          <a:fillRect/>
        </a:stretch>
      </xdr:blipFill>
      <xdr:spPr>
        <a:xfrm>
          <a:off x="5695950" y="10677525"/>
          <a:ext cx="1695450" cy="1210335"/>
        </a:xfrm>
        <a:prstGeom prst="rect">
          <a:avLst/>
        </a:prstGeom>
      </xdr:spPr>
    </xdr:pic>
    <xdr:clientData/>
  </xdr:twoCellAnchor>
  <xdr:twoCellAnchor editAs="oneCell">
    <xdr:from>
      <xdr:col>5</xdr:col>
      <xdr:colOff>2276475</xdr:colOff>
      <xdr:row>24</xdr:row>
      <xdr:rowOff>38100</xdr:rowOff>
    </xdr:from>
    <xdr:to>
      <xdr:col>5</xdr:col>
      <xdr:colOff>4133946</xdr:colOff>
      <xdr:row>27</xdr:row>
      <xdr:rowOff>181013</xdr:rowOff>
    </xdr:to>
    <xdr:pic>
      <xdr:nvPicPr>
        <xdr:cNvPr id="8" name="Picture 7">
          <a:extLst>
            <a:ext uri="{FF2B5EF4-FFF2-40B4-BE49-F238E27FC236}">
              <a16:creationId xmlns:a16="http://schemas.microsoft.com/office/drawing/2014/main" id="{F19B6836-E941-4876-B113-1D7346D4A4D9}"/>
            </a:ext>
          </a:extLst>
        </xdr:cNvPr>
        <xdr:cNvPicPr>
          <a:picLocks noChangeAspect="1"/>
        </xdr:cNvPicPr>
      </xdr:nvPicPr>
      <xdr:blipFill>
        <a:blip xmlns:r="http://schemas.openxmlformats.org/officeDocument/2006/relationships" r:embed="rId7"/>
        <a:stretch>
          <a:fillRect/>
        </a:stretch>
      </xdr:blipFill>
      <xdr:spPr>
        <a:xfrm>
          <a:off x="7931150" y="4914900"/>
          <a:ext cx="1860646" cy="7398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60940</xdr:colOff>
      <xdr:row>4</xdr:row>
      <xdr:rowOff>138545</xdr:rowOff>
    </xdr:from>
    <xdr:to>
      <xdr:col>26</xdr:col>
      <xdr:colOff>97814</xdr:colOff>
      <xdr:row>15</xdr:row>
      <xdr:rowOff>47336</xdr:rowOff>
    </xdr:to>
    <xdr:pic>
      <xdr:nvPicPr>
        <xdr:cNvPr id="2" name="Picture 1">
          <a:extLst>
            <a:ext uri="{FF2B5EF4-FFF2-40B4-BE49-F238E27FC236}">
              <a16:creationId xmlns:a16="http://schemas.microsoft.com/office/drawing/2014/main" id="{807251EC-116F-4FA1-AFA9-837166328E4A}"/>
            </a:ext>
          </a:extLst>
        </xdr:cNvPr>
        <xdr:cNvPicPr>
          <a:picLocks noChangeAspect="1"/>
        </xdr:cNvPicPr>
      </xdr:nvPicPr>
      <xdr:blipFill>
        <a:blip xmlns:r="http://schemas.openxmlformats.org/officeDocument/2006/relationships" r:embed="rId1"/>
        <a:stretch>
          <a:fillRect/>
        </a:stretch>
      </xdr:blipFill>
      <xdr:spPr>
        <a:xfrm>
          <a:off x="12313265" y="1065645"/>
          <a:ext cx="5948724" cy="2128116"/>
        </a:xfrm>
        <a:prstGeom prst="rect">
          <a:avLst/>
        </a:prstGeom>
      </xdr:spPr>
    </xdr:pic>
    <xdr:clientData/>
  </xdr:twoCellAnchor>
  <xdr:twoCellAnchor editAs="oneCell">
    <xdr:from>
      <xdr:col>17</xdr:col>
      <xdr:colOff>26265</xdr:colOff>
      <xdr:row>16</xdr:row>
      <xdr:rowOff>27708</xdr:rowOff>
    </xdr:from>
    <xdr:to>
      <xdr:col>24</xdr:col>
      <xdr:colOff>579371</xdr:colOff>
      <xdr:row>27</xdr:row>
      <xdr:rowOff>183283</xdr:rowOff>
    </xdr:to>
    <xdr:pic>
      <xdr:nvPicPr>
        <xdr:cNvPr id="3" name="Picture 2">
          <a:extLst>
            <a:ext uri="{FF2B5EF4-FFF2-40B4-BE49-F238E27FC236}">
              <a16:creationId xmlns:a16="http://schemas.microsoft.com/office/drawing/2014/main" id="{F5CFC4A7-2D44-4F09-8967-2AB889774C02}"/>
            </a:ext>
          </a:extLst>
        </xdr:cNvPr>
        <xdr:cNvPicPr>
          <a:picLocks noChangeAspect="1"/>
        </xdr:cNvPicPr>
      </xdr:nvPicPr>
      <xdr:blipFill>
        <a:blip xmlns:r="http://schemas.openxmlformats.org/officeDocument/2006/relationships" r:embed="rId2"/>
        <a:stretch>
          <a:fillRect/>
        </a:stretch>
      </xdr:blipFill>
      <xdr:spPr>
        <a:xfrm>
          <a:off x="12278590" y="3374158"/>
          <a:ext cx="5153681" cy="2349500"/>
        </a:xfrm>
        <a:prstGeom prst="rect">
          <a:avLst/>
        </a:prstGeom>
      </xdr:spPr>
    </xdr:pic>
    <xdr:clientData/>
  </xdr:twoCellAnchor>
  <xdr:twoCellAnchor editAs="oneCell">
    <xdr:from>
      <xdr:col>17</xdr:col>
      <xdr:colOff>34637</xdr:colOff>
      <xdr:row>28</xdr:row>
      <xdr:rowOff>25977</xdr:rowOff>
    </xdr:from>
    <xdr:to>
      <xdr:col>25</xdr:col>
      <xdr:colOff>372341</xdr:colOff>
      <xdr:row>47</xdr:row>
      <xdr:rowOff>144583</xdr:rowOff>
    </xdr:to>
    <xdr:pic>
      <xdr:nvPicPr>
        <xdr:cNvPr id="4" name="Picture 3">
          <a:extLst>
            <a:ext uri="{FF2B5EF4-FFF2-40B4-BE49-F238E27FC236}">
              <a16:creationId xmlns:a16="http://schemas.microsoft.com/office/drawing/2014/main" id="{9D10CC46-905C-45AF-9DF0-AD5A4001D410}"/>
            </a:ext>
          </a:extLst>
        </xdr:cNvPr>
        <xdr:cNvPicPr>
          <a:picLocks noChangeAspect="1"/>
        </xdr:cNvPicPr>
      </xdr:nvPicPr>
      <xdr:blipFill>
        <a:blip xmlns:r="http://schemas.openxmlformats.org/officeDocument/2006/relationships" r:embed="rId3"/>
        <a:stretch>
          <a:fillRect/>
        </a:stretch>
      </xdr:blipFill>
      <xdr:spPr>
        <a:xfrm>
          <a:off x="12280612" y="5772727"/>
          <a:ext cx="5595504" cy="3912731"/>
        </a:xfrm>
        <a:prstGeom prst="rect">
          <a:avLst/>
        </a:prstGeom>
      </xdr:spPr>
    </xdr:pic>
    <xdr:clientData/>
  </xdr:twoCellAnchor>
  <xdr:twoCellAnchor editAs="oneCell">
    <xdr:from>
      <xdr:col>12</xdr:col>
      <xdr:colOff>112567</xdr:colOff>
      <xdr:row>4</xdr:row>
      <xdr:rowOff>11835</xdr:rowOff>
    </xdr:from>
    <xdr:to>
      <xdr:col>15</xdr:col>
      <xdr:colOff>429703</xdr:colOff>
      <xdr:row>8</xdr:row>
      <xdr:rowOff>122094</xdr:rowOff>
    </xdr:to>
    <xdr:pic>
      <xdr:nvPicPr>
        <xdr:cNvPr id="5" name="Picture 4">
          <a:extLst>
            <a:ext uri="{FF2B5EF4-FFF2-40B4-BE49-F238E27FC236}">
              <a16:creationId xmlns:a16="http://schemas.microsoft.com/office/drawing/2014/main" id="{9A4FD793-B892-4380-AFC3-6EEEF6CC09AD}"/>
            </a:ext>
          </a:extLst>
        </xdr:cNvPr>
        <xdr:cNvPicPr>
          <a:picLocks noChangeAspect="1"/>
        </xdr:cNvPicPr>
      </xdr:nvPicPr>
      <xdr:blipFill>
        <a:blip xmlns:r="http://schemas.openxmlformats.org/officeDocument/2006/relationships" r:embed="rId4"/>
        <a:stretch>
          <a:fillRect/>
        </a:stretch>
      </xdr:blipFill>
      <xdr:spPr>
        <a:xfrm>
          <a:off x="8961292" y="932585"/>
          <a:ext cx="2285636" cy="916709"/>
        </a:xfrm>
        <a:prstGeom prst="rect">
          <a:avLst/>
        </a:prstGeom>
      </xdr:spPr>
    </xdr:pic>
    <xdr:clientData/>
  </xdr:twoCellAnchor>
  <xdr:twoCellAnchor editAs="oneCell">
    <xdr:from>
      <xdr:col>0</xdr:col>
      <xdr:colOff>259774</xdr:colOff>
      <xdr:row>88</xdr:row>
      <xdr:rowOff>87285</xdr:rowOff>
    </xdr:from>
    <xdr:to>
      <xdr:col>8</xdr:col>
      <xdr:colOff>192231</xdr:colOff>
      <xdr:row>122</xdr:row>
      <xdr:rowOff>93551</xdr:rowOff>
    </xdr:to>
    <xdr:pic>
      <xdr:nvPicPr>
        <xdr:cNvPr id="6" name="Picture 5">
          <a:extLst>
            <a:ext uri="{FF2B5EF4-FFF2-40B4-BE49-F238E27FC236}">
              <a16:creationId xmlns:a16="http://schemas.microsoft.com/office/drawing/2014/main" id="{9E0C7993-4DFF-4F87-B7A8-ACBC2B4653BF}"/>
            </a:ext>
          </a:extLst>
        </xdr:cNvPr>
        <xdr:cNvPicPr>
          <a:picLocks noChangeAspect="1"/>
        </xdr:cNvPicPr>
      </xdr:nvPicPr>
      <xdr:blipFill>
        <a:blip xmlns:r="http://schemas.openxmlformats.org/officeDocument/2006/relationships" r:embed="rId5"/>
        <a:stretch>
          <a:fillRect/>
        </a:stretch>
      </xdr:blipFill>
      <xdr:spPr>
        <a:xfrm>
          <a:off x="256599" y="17829185"/>
          <a:ext cx="6088782" cy="6810291"/>
        </a:xfrm>
        <a:prstGeom prst="rect">
          <a:avLst/>
        </a:prstGeom>
      </xdr:spPr>
    </xdr:pic>
    <xdr:clientData/>
  </xdr:twoCellAnchor>
  <xdr:twoCellAnchor>
    <xdr:from>
      <xdr:col>1</xdr:col>
      <xdr:colOff>1475350</xdr:colOff>
      <xdr:row>130</xdr:row>
      <xdr:rowOff>25400</xdr:rowOff>
    </xdr:from>
    <xdr:to>
      <xdr:col>5</xdr:col>
      <xdr:colOff>644525</xdr:colOff>
      <xdr:row>134</xdr:row>
      <xdr:rowOff>114300</xdr:rowOff>
    </xdr:to>
    <xdr:pic>
      <xdr:nvPicPr>
        <xdr:cNvPr id="7" name="Picture 6">
          <a:extLst>
            <a:ext uri="{FF2B5EF4-FFF2-40B4-BE49-F238E27FC236}">
              <a16:creationId xmlns:a16="http://schemas.microsoft.com/office/drawing/2014/main" id="{B2E9B966-9E7A-40F8-B334-4CB185BB44D1}"/>
            </a:ext>
          </a:extLst>
        </xdr:cNvPr>
        <xdr:cNvPicPr>
          <a:picLocks noChangeAspect="1"/>
        </xdr:cNvPicPr>
      </xdr:nvPicPr>
      <xdr:blipFill>
        <a:blip xmlns:r="http://schemas.openxmlformats.org/officeDocument/2006/relationships" r:embed="rId6"/>
        <a:stretch>
          <a:fillRect/>
        </a:stretch>
      </xdr:blipFill>
      <xdr:spPr>
        <a:xfrm>
          <a:off x="1754750" y="26241375"/>
          <a:ext cx="2956950" cy="885825"/>
        </a:xfrm>
        <a:prstGeom prst="rect">
          <a:avLst/>
        </a:prstGeom>
      </xdr:spPr>
    </xdr:pic>
    <xdr:clientData/>
  </xdr:twoCellAnchor>
  <xdr:twoCellAnchor>
    <xdr:from>
      <xdr:col>6</xdr:col>
      <xdr:colOff>105987</xdr:colOff>
      <xdr:row>130</xdr:row>
      <xdr:rowOff>39154</xdr:rowOff>
    </xdr:from>
    <xdr:to>
      <xdr:col>9</xdr:col>
      <xdr:colOff>485775</xdr:colOff>
      <xdr:row>132</xdr:row>
      <xdr:rowOff>190500</xdr:rowOff>
    </xdr:to>
    <xdr:grpSp>
      <xdr:nvGrpSpPr>
        <xdr:cNvPr id="8" name="Group 7">
          <a:extLst>
            <a:ext uri="{FF2B5EF4-FFF2-40B4-BE49-F238E27FC236}">
              <a16:creationId xmlns:a16="http://schemas.microsoft.com/office/drawing/2014/main" id="{0F255FBE-38D8-4AD0-8CF9-C2D253268154}"/>
            </a:ext>
          </a:extLst>
        </xdr:cNvPr>
        <xdr:cNvGrpSpPr/>
      </xdr:nvGrpSpPr>
      <xdr:grpSpPr>
        <a:xfrm>
          <a:off x="4830387" y="25032754"/>
          <a:ext cx="2532438" cy="532346"/>
          <a:chOff x="2007812" y="26572629"/>
          <a:chExt cx="2573974" cy="468846"/>
        </a:xfrm>
      </xdr:grpSpPr>
      <xdr:pic>
        <xdr:nvPicPr>
          <xdr:cNvPr id="9" name="Picture 8">
            <a:extLst>
              <a:ext uri="{FF2B5EF4-FFF2-40B4-BE49-F238E27FC236}">
                <a16:creationId xmlns:a16="http://schemas.microsoft.com/office/drawing/2014/main" id="{659E88A2-2409-7B40-ADDD-EFF90AA082EB}"/>
              </a:ext>
            </a:extLst>
          </xdr:cNvPr>
          <xdr:cNvPicPr>
            <a:picLocks noChangeAspect="1"/>
          </xdr:cNvPicPr>
        </xdr:nvPicPr>
        <xdr:blipFill>
          <a:blip xmlns:r="http://schemas.openxmlformats.org/officeDocument/2006/relationships" r:embed="rId7"/>
          <a:stretch>
            <a:fillRect/>
          </a:stretch>
        </xdr:blipFill>
        <xdr:spPr>
          <a:xfrm>
            <a:off x="2007812" y="26572629"/>
            <a:ext cx="2573974" cy="165325"/>
          </a:xfrm>
          <a:prstGeom prst="rect">
            <a:avLst/>
          </a:prstGeom>
        </xdr:spPr>
      </xdr:pic>
      <xdr:pic>
        <xdr:nvPicPr>
          <xdr:cNvPr id="10" name="Picture 9">
            <a:extLst>
              <a:ext uri="{FF2B5EF4-FFF2-40B4-BE49-F238E27FC236}">
                <a16:creationId xmlns:a16="http://schemas.microsoft.com/office/drawing/2014/main" id="{08315EA3-30B2-2E5E-4033-246EC78A6D77}"/>
              </a:ext>
            </a:extLst>
          </xdr:cNvPr>
          <xdr:cNvPicPr>
            <a:picLocks noChangeAspect="1"/>
          </xdr:cNvPicPr>
        </xdr:nvPicPr>
        <xdr:blipFill>
          <a:blip xmlns:r="http://schemas.openxmlformats.org/officeDocument/2006/relationships" r:embed="rId8"/>
          <a:stretch>
            <a:fillRect/>
          </a:stretch>
        </xdr:blipFill>
        <xdr:spPr>
          <a:xfrm>
            <a:off x="2041260" y="26753175"/>
            <a:ext cx="2394260" cy="288300"/>
          </a:xfrm>
          <a:prstGeom prst="rect">
            <a:avLst/>
          </a:prstGeom>
        </xdr:spPr>
      </xdr:pic>
    </xdr:grpSp>
    <xdr:clientData/>
  </xdr:twoCellAnchor>
  <xdr:oneCellAnchor>
    <xdr:from>
      <xdr:col>2</xdr:col>
      <xdr:colOff>74180</xdr:colOff>
      <xdr:row>136</xdr:row>
      <xdr:rowOff>10958</xdr:rowOff>
    </xdr:from>
    <xdr:ext cx="2403764" cy="226623"/>
    <xdr:pic>
      <xdr:nvPicPr>
        <xdr:cNvPr id="11" name="Picture 10">
          <a:extLst>
            <a:ext uri="{FF2B5EF4-FFF2-40B4-BE49-F238E27FC236}">
              <a16:creationId xmlns:a16="http://schemas.microsoft.com/office/drawing/2014/main" id="{05344D82-C556-413A-BE05-7DDC04AA422D}"/>
            </a:ext>
          </a:extLst>
        </xdr:cNvPr>
        <xdr:cNvPicPr>
          <a:picLocks noChangeAspect="1"/>
        </xdr:cNvPicPr>
      </xdr:nvPicPr>
      <xdr:blipFill>
        <a:blip xmlns:r="http://schemas.openxmlformats.org/officeDocument/2006/relationships" r:embed="rId9"/>
        <a:stretch>
          <a:fillRect/>
        </a:stretch>
      </xdr:blipFill>
      <xdr:spPr>
        <a:xfrm>
          <a:off x="2131580" y="27420733"/>
          <a:ext cx="2403764" cy="226623"/>
        </a:xfrm>
        <a:prstGeom prst="rect">
          <a:avLst/>
        </a:prstGeom>
      </xdr:spPr>
    </xdr:pic>
    <xdr:clientData/>
  </xdr:oneCellAnchor>
  <xdr:twoCellAnchor>
    <xdr:from>
      <xdr:col>1</xdr:col>
      <xdr:colOff>854941</xdr:colOff>
      <xdr:row>138</xdr:row>
      <xdr:rowOff>28113</xdr:rowOff>
    </xdr:from>
    <xdr:to>
      <xdr:col>12</xdr:col>
      <xdr:colOff>378738</xdr:colOff>
      <xdr:row>144</xdr:row>
      <xdr:rowOff>173053</xdr:rowOff>
    </xdr:to>
    <xdr:pic>
      <xdr:nvPicPr>
        <xdr:cNvPr id="12" name="Picture 11">
          <a:extLst>
            <a:ext uri="{FF2B5EF4-FFF2-40B4-BE49-F238E27FC236}">
              <a16:creationId xmlns:a16="http://schemas.microsoft.com/office/drawing/2014/main" id="{50A148AD-2CAC-4951-AFE9-F22533522B6F}"/>
            </a:ext>
          </a:extLst>
        </xdr:cNvPr>
        <xdr:cNvPicPr>
          <a:picLocks noChangeAspect="1"/>
        </xdr:cNvPicPr>
      </xdr:nvPicPr>
      <xdr:blipFill>
        <a:blip xmlns:r="http://schemas.openxmlformats.org/officeDocument/2006/relationships" r:embed="rId10"/>
        <a:stretch>
          <a:fillRect/>
        </a:stretch>
      </xdr:blipFill>
      <xdr:spPr>
        <a:xfrm>
          <a:off x="1131166" y="27844288"/>
          <a:ext cx="8096297" cy="1341915"/>
        </a:xfrm>
        <a:prstGeom prst="rect">
          <a:avLst/>
        </a:prstGeom>
      </xdr:spPr>
    </xdr:pic>
    <xdr:clientData/>
  </xdr:twoCellAnchor>
  <xdr:twoCellAnchor>
    <xdr:from>
      <xdr:col>15</xdr:col>
      <xdr:colOff>67225</xdr:colOff>
      <xdr:row>126</xdr:row>
      <xdr:rowOff>161977</xdr:rowOff>
    </xdr:from>
    <xdr:to>
      <xdr:col>24</xdr:col>
      <xdr:colOff>180975</xdr:colOff>
      <xdr:row>152</xdr:row>
      <xdr:rowOff>66151</xdr:rowOff>
    </xdr:to>
    <xdr:pic>
      <xdr:nvPicPr>
        <xdr:cNvPr id="13" name="Picture 12">
          <a:extLst>
            <a:ext uri="{FF2B5EF4-FFF2-40B4-BE49-F238E27FC236}">
              <a16:creationId xmlns:a16="http://schemas.microsoft.com/office/drawing/2014/main" id="{31FEB744-342E-4E7F-A81F-3B159870C067}"/>
            </a:ext>
          </a:extLst>
        </xdr:cNvPr>
        <xdr:cNvPicPr>
          <a:picLocks noChangeAspect="1"/>
        </xdr:cNvPicPr>
      </xdr:nvPicPr>
      <xdr:blipFill>
        <a:blip xmlns:r="http://schemas.openxmlformats.org/officeDocument/2006/relationships" r:embed="rId11"/>
        <a:stretch>
          <a:fillRect/>
        </a:stretch>
      </xdr:blipFill>
      <xdr:spPr>
        <a:xfrm>
          <a:off x="10884450" y="25504827"/>
          <a:ext cx="6143075" cy="5177849"/>
        </a:xfrm>
        <a:prstGeom prst="rect">
          <a:avLst/>
        </a:prstGeom>
      </xdr:spPr>
    </xdr:pic>
    <xdr:clientData/>
  </xdr:twoCellAnchor>
  <xdr:twoCellAnchor editAs="oneCell">
    <xdr:from>
      <xdr:col>1</xdr:col>
      <xdr:colOff>610842</xdr:colOff>
      <xdr:row>148</xdr:row>
      <xdr:rowOff>19050</xdr:rowOff>
    </xdr:from>
    <xdr:to>
      <xdr:col>7</xdr:col>
      <xdr:colOff>628833</xdr:colOff>
      <xdr:row>152</xdr:row>
      <xdr:rowOff>0</xdr:rowOff>
    </xdr:to>
    <xdr:pic>
      <xdr:nvPicPr>
        <xdr:cNvPr id="14" name="Picture 13">
          <a:extLst>
            <a:ext uri="{FF2B5EF4-FFF2-40B4-BE49-F238E27FC236}">
              <a16:creationId xmlns:a16="http://schemas.microsoft.com/office/drawing/2014/main" id="{628793F5-64CA-4489-ACB5-338FA3CCD889}"/>
            </a:ext>
          </a:extLst>
        </xdr:cNvPr>
        <xdr:cNvPicPr>
          <a:picLocks noChangeAspect="1"/>
        </xdr:cNvPicPr>
      </xdr:nvPicPr>
      <xdr:blipFill>
        <a:blip xmlns:r="http://schemas.openxmlformats.org/officeDocument/2006/relationships" r:embed="rId12"/>
        <a:stretch>
          <a:fillRect/>
        </a:stretch>
      </xdr:blipFill>
      <xdr:spPr>
        <a:xfrm>
          <a:off x="887067" y="29832300"/>
          <a:ext cx="5123391" cy="781050"/>
        </a:xfrm>
        <a:prstGeom prst="rect">
          <a:avLst/>
        </a:prstGeom>
      </xdr:spPr>
    </xdr:pic>
    <xdr:clientData/>
  </xdr:twoCellAnchor>
  <xdr:twoCellAnchor>
    <xdr:from>
      <xdr:col>13</xdr:col>
      <xdr:colOff>9524</xdr:colOff>
      <xdr:row>153</xdr:row>
      <xdr:rowOff>88899</xdr:rowOff>
    </xdr:from>
    <xdr:to>
      <xdr:col>21</xdr:col>
      <xdr:colOff>276224</xdr:colOff>
      <xdr:row>177</xdr:row>
      <xdr:rowOff>10062</xdr:rowOff>
    </xdr:to>
    <xdr:grpSp>
      <xdr:nvGrpSpPr>
        <xdr:cNvPr id="15" name="Group 14">
          <a:extLst>
            <a:ext uri="{FF2B5EF4-FFF2-40B4-BE49-F238E27FC236}">
              <a16:creationId xmlns:a16="http://schemas.microsoft.com/office/drawing/2014/main" id="{5056DFDF-BDEE-4FCD-85CC-B2B15A465975}"/>
            </a:ext>
          </a:extLst>
        </xdr:cNvPr>
        <xdr:cNvGrpSpPr/>
      </xdr:nvGrpSpPr>
      <xdr:grpSpPr>
        <a:xfrm>
          <a:off x="9515474" y="29463999"/>
          <a:ext cx="5638800" cy="4493163"/>
          <a:chOff x="9220199" y="30416499"/>
          <a:chExt cx="5641975" cy="4721763"/>
        </a:xfrm>
      </xdr:grpSpPr>
      <xdr:pic>
        <xdr:nvPicPr>
          <xdr:cNvPr id="16" name="Picture 15">
            <a:extLst>
              <a:ext uri="{FF2B5EF4-FFF2-40B4-BE49-F238E27FC236}">
                <a16:creationId xmlns:a16="http://schemas.microsoft.com/office/drawing/2014/main" id="{6AACBBEE-62E6-8784-A68F-FCA2F5F34380}"/>
              </a:ext>
            </a:extLst>
          </xdr:cNvPr>
          <xdr:cNvPicPr>
            <a:picLocks noChangeAspect="1"/>
          </xdr:cNvPicPr>
        </xdr:nvPicPr>
        <xdr:blipFill>
          <a:blip xmlns:r="http://schemas.openxmlformats.org/officeDocument/2006/relationships" r:embed="rId13"/>
          <a:stretch>
            <a:fillRect/>
          </a:stretch>
        </xdr:blipFill>
        <xdr:spPr>
          <a:xfrm>
            <a:off x="9220199" y="30416499"/>
            <a:ext cx="5641975" cy="2603913"/>
          </a:xfrm>
          <a:prstGeom prst="rect">
            <a:avLst/>
          </a:prstGeom>
        </xdr:spPr>
      </xdr:pic>
      <xdr:pic>
        <xdr:nvPicPr>
          <xdr:cNvPr id="17" name="Picture 16">
            <a:extLst>
              <a:ext uri="{FF2B5EF4-FFF2-40B4-BE49-F238E27FC236}">
                <a16:creationId xmlns:a16="http://schemas.microsoft.com/office/drawing/2014/main" id="{1FB4F761-D801-8B39-C69F-80EF192F03A4}"/>
              </a:ext>
            </a:extLst>
          </xdr:cNvPr>
          <xdr:cNvPicPr>
            <a:picLocks noChangeAspect="1"/>
          </xdr:cNvPicPr>
        </xdr:nvPicPr>
        <xdr:blipFill>
          <a:blip xmlns:r="http://schemas.openxmlformats.org/officeDocument/2006/relationships" r:embed="rId14"/>
          <a:stretch>
            <a:fillRect/>
          </a:stretch>
        </xdr:blipFill>
        <xdr:spPr>
          <a:xfrm>
            <a:off x="9305925" y="33042225"/>
            <a:ext cx="5473700" cy="2096037"/>
          </a:xfrm>
          <a:prstGeom prst="rect">
            <a:avLst/>
          </a:prstGeom>
        </xdr:spPr>
      </xdr:pic>
    </xdr:grpSp>
    <xdr:clientData/>
  </xdr:twoCellAnchor>
  <xdr:twoCellAnchor editAs="oneCell">
    <xdr:from>
      <xdr:col>0</xdr:col>
      <xdr:colOff>228600</xdr:colOff>
      <xdr:row>156</xdr:row>
      <xdr:rowOff>57150</xdr:rowOff>
    </xdr:from>
    <xdr:to>
      <xdr:col>10</xdr:col>
      <xdr:colOff>237646</xdr:colOff>
      <xdr:row>164</xdr:row>
      <xdr:rowOff>82634</xdr:rowOff>
    </xdr:to>
    <xdr:pic>
      <xdr:nvPicPr>
        <xdr:cNvPr id="18" name="Picture 17">
          <a:extLst>
            <a:ext uri="{FF2B5EF4-FFF2-40B4-BE49-F238E27FC236}">
              <a16:creationId xmlns:a16="http://schemas.microsoft.com/office/drawing/2014/main" id="{410A2D33-1DA8-42CA-A96F-80B650894B75}"/>
            </a:ext>
          </a:extLst>
        </xdr:cNvPr>
        <xdr:cNvPicPr>
          <a:picLocks noChangeAspect="1"/>
        </xdr:cNvPicPr>
      </xdr:nvPicPr>
      <xdr:blipFill>
        <a:blip xmlns:r="http://schemas.openxmlformats.org/officeDocument/2006/relationships" r:embed="rId15"/>
        <a:stretch>
          <a:fillRect/>
        </a:stretch>
      </xdr:blipFill>
      <xdr:spPr>
        <a:xfrm>
          <a:off x="228600" y="31470600"/>
          <a:ext cx="7546496" cy="1628859"/>
        </a:xfrm>
        <a:prstGeom prst="rect">
          <a:avLst/>
        </a:prstGeom>
      </xdr:spPr>
    </xdr:pic>
    <xdr:clientData/>
  </xdr:twoCellAnchor>
  <xdr:twoCellAnchor editAs="oneCell">
    <xdr:from>
      <xdr:col>0</xdr:col>
      <xdr:colOff>209551</xdr:colOff>
      <xdr:row>168</xdr:row>
      <xdr:rowOff>36793</xdr:rowOff>
    </xdr:from>
    <xdr:to>
      <xdr:col>4</xdr:col>
      <xdr:colOff>626137</xdr:colOff>
      <xdr:row>179</xdr:row>
      <xdr:rowOff>82550</xdr:rowOff>
    </xdr:to>
    <xdr:pic>
      <xdr:nvPicPr>
        <xdr:cNvPr id="19" name="Picture 18">
          <a:extLst>
            <a:ext uri="{FF2B5EF4-FFF2-40B4-BE49-F238E27FC236}">
              <a16:creationId xmlns:a16="http://schemas.microsoft.com/office/drawing/2014/main" id="{01103F28-D083-40FF-A905-A070BF8FC88A}"/>
            </a:ext>
          </a:extLst>
        </xdr:cNvPr>
        <xdr:cNvPicPr>
          <a:picLocks noChangeAspect="1"/>
        </xdr:cNvPicPr>
      </xdr:nvPicPr>
      <xdr:blipFill>
        <a:blip xmlns:r="http://schemas.openxmlformats.org/officeDocument/2006/relationships" r:embed="rId16"/>
        <a:stretch>
          <a:fillRect/>
        </a:stretch>
      </xdr:blipFill>
      <xdr:spPr>
        <a:xfrm>
          <a:off x="209551" y="33850543"/>
          <a:ext cx="3826536" cy="2249207"/>
        </a:xfrm>
        <a:prstGeom prst="rect">
          <a:avLst/>
        </a:prstGeom>
      </xdr:spPr>
    </xdr:pic>
    <xdr:clientData/>
  </xdr:twoCellAnchor>
  <xdr:twoCellAnchor editAs="oneCell">
    <xdr:from>
      <xdr:col>11</xdr:col>
      <xdr:colOff>95250</xdr:colOff>
      <xdr:row>178</xdr:row>
      <xdr:rowOff>140795</xdr:rowOff>
    </xdr:from>
    <xdr:to>
      <xdr:col>21</xdr:col>
      <xdr:colOff>514729</xdr:colOff>
      <xdr:row>185</xdr:row>
      <xdr:rowOff>82620</xdr:rowOff>
    </xdr:to>
    <xdr:pic>
      <xdr:nvPicPr>
        <xdr:cNvPr id="20" name="Picture 19">
          <a:extLst>
            <a:ext uri="{FF2B5EF4-FFF2-40B4-BE49-F238E27FC236}">
              <a16:creationId xmlns:a16="http://schemas.microsoft.com/office/drawing/2014/main" id="{356DA930-D610-4882-8025-99585F961574}"/>
            </a:ext>
          </a:extLst>
        </xdr:cNvPr>
        <xdr:cNvPicPr>
          <a:picLocks noChangeAspect="1"/>
        </xdr:cNvPicPr>
      </xdr:nvPicPr>
      <xdr:blipFill>
        <a:blip xmlns:r="http://schemas.openxmlformats.org/officeDocument/2006/relationships" r:embed="rId17"/>
        <a:stretch>
          <a:fillRect/>
        </a:stretch>
      </xdr:blipFill>
      <xdr:spPr>
        <a:xfrm>
          <a:off x="8286750" y="35957970"/>
          <a:ext cx="7106029" cy="1342000"/>
        </a:xfrm>
        <a:prstGeom prst="rect">
          <a:avLst/>
        </a:prstGeom>
      </xdr:spPr>
    </xdr:pic>
    <xdr:clientData/>
  </xdr:twoCellAnchor>
  <xdr:twoCellAnchor editAs="oneCell">
    <xdr:from>
      <xdr:col>10</xdr:col>
      <xdr:colOff>149225</xdr:colOff>
      <xdr:row>186</xdr:row>
      <xdr:rowOff>114299</xdr:rowOff>
    </xdr:from>
    <xdr:to>
      <xdr:col>19</xdr:col>
      <xdr:colOff>339725</xdr:colOff>
      <xdr:row>213</xdr:row>
      <xdr:rowOff>1018</xdr:rowOff>
    </xdr:to>
    <xdr:pic>
      <xdr:nvPicPr>
        <xdr:cNvPr id="21" name="Picture 20">
          <a:extLst>
            <a:ext uri="{FF2B5EF4-FFF2-40B4-BE49-F238E27FC236}">
              <a16:creationId xmlns:a16="http://schemas.microsoft.com/office/drawing/2014/main" id="{5F9B19AA-94D7-40B7-B297-2AB36089B134}"/>
            </a:ext>
          </a:extLst>
        </xdr:cNvPr>
        <xdr:cNvPicPr>
          <a:picLocks noChangeAspect="1"/>
        </xdr:cNvPicPr>
      </xdr:nvPicPr>
      <xdr:blipFill>
        <a:blip xmlns:r="http://schemas.openxmlformats.org/officeDocument/2006/relationships" r:embed="rId18"/>
        <a:stretch>
          <a:fillRect/>
        </a:stretch>
      </xdr:blipFill>
      <xdr:spPr>
        <a:xfrm>
          <a:off x="7683500" y="37528499"/>
          <a:ext cx="6219825" cy="5287394"/>
        </a:xfrm>
        <a:prstGeom prst="rect">
          <a:avLst/>
        </a:prstGeom>
      </xdr:spPr>
    </xdr:pic>
    <xdr:clientData/>
  </xdr:twoCellAnchor>
  <xdr:twoCellAnchor editAs="oneCell">
    <xdr:from>
      <xdr:col>0</xdr:col>
      <xdr:colOff>206781</xdr:colOff>
      <xdr:row>185</xdr:row>
      <xdr:rowOff>177800</xdr:rowOff>
    </xdr:from>
    <xdr:to>
      <xdr:col>9</xdr:col>
      <xdr:colOff>202653</xdr:colOff>
      <xdr:row>194</xdr:row>
      <xdr:rowOff>114300</xdr:rowOff>
    </xdr:to>
    <xdr:pic>
      <xdr:nvPicPr>
        <xdr:cNvPr id="22" name="Picture 21">
          <a:extLst>
            <a:ext uri="{FF2B5EF4-FFF2-40B4-BE49-F238E27FC236}">
              <a16:creationId xmlns:a16="http://schemas.microsoft.com/office/drawing/2014/main" id="{B7DAF776-0C01-4986-B2B7-A0A2BAE0A56F}"/>
            </a:ext>
          </a:extLst>
        </xdr:cNvPr>
        <xdr:cNvPicPr>
          <a:picLocks noChangeAspect="1"/>
        </xdr:cNvPicPr>
      </xdr:nvPicPr>
      <xdr:blipFill>
        <a:blip xmlns:r="http://schemas.openxmlformats.org/officeDocument/2006/relationships" r:embed="rId19"/>
        <a:stretch>
          <a:fillRect/>
        </a:stretch>
      </xdr:blipFill>
      <xdr:spPr>
        <a:xfrm>
          <a:off x="206781" y="37395150"/>
          <a:ext cx="6869747" cy="1733550"/>
        </a:xfrm>
        <a:prstGeom prst="rect">
          <a:avLst/>
        </a:prstGeom>
        <a:ln w="15875">
          <a:solidFill>
            <a:srgbClr val="00CC00"/>
          </a:solidFill>
        </a:ln>
      </xdr:spPr>
    </xdr:pic>
    <xdr:clientData/>
  </xdr:twoCellAnchor>
  <xdr:twoCellAnchor editAs="oneCell">
    <xdr:from>
      <xdr:col>1</xdr:col>
      <xdr:colOff>1400175</xdr:colOff>
      <xdr:row>204</xdr:row>
      <xdr:rowOff>38100</xdr:rowOff>
    </xdr:from>
    <xdr:to>
      <xdr:col>7</xdr:col>
      <xdr:colOff>209751</xdr:colOff>
      <xdr:row>216</xdr:row>
      <xdr:rowOff>28698</xdr:rowOff>
    </xdr:to>
    <xdr:pic>
      <xdr:nvPicPr>
        <xdr:cNvPr id="23" name="Picture 22">
          <a:extLst>
            <a:ext uri="{FF2B5EF4-FFF2-40B4-BE49-F238E27FC236}">
              <a16:creationId xmlns:a16="http://schemas.microsoft.com/office/drawing/2014/main" id="{0CB877B7-590E-4484-9ACE-9791450553AC}"/>
            </a:ext>
          </a:extLst>
        </xdr:cNvPr>
        <xdr:cNvPicPr>
          <a:picLocks noChangeAspect="1"/>
        </xdr:cNvPicPr>
      </xdr:nvPicPr>
      <xdr:blipFill>
        <a:blip xmlns:r="http://schemas.openxmlformats.org/officeDocument/2006/relationships" r:embed="rId20"/>
        <a:stretch>
          <a:fillRect/>
        </a:stretch>
      </xdr:blipFill>
      <xdr:spPr>
        <a:xfrm>
          <a:off x="1673225" y="41052750"/>
          <a:ext cx="3918151" cy="2387723"/>
        </a:xfrm>
        <a:prstGeom prst="rect">
          <a:avLst/>
        </a:prstGeom>
      </xdr:spPr>
    </xdr:pic>
    <xdr:clientData/>
  </xdr:twoCellAnchor>
  <xdr:twoCellAnchor editAs="oneCell">
    <xdr:from>
      <xdr:col>12</xdr:col>
      <xdr:colOff>522719</xdr:colOff>
      <xdr:row>250</xdr:row>
      <xdr:rowOff>55129</xdr:rowOff>
    </xdr:from>
    <xdr:to>
      <xdr:col>17</xdr:col>
      <xdr:colOff>475844</xdr:colOff>
      <xdr:row>263</xdr:row>
      <xdr:rowOff>9367</xdr:rowOff>
    </xdr:to>
    <xdr:pic>
      <xdr:nvPicPr>
        <xdr:cNvPr id="24" name="Picture 23">
          <a:extLst>
            <a:ext uri="{FF2B5EF4-FFF2-40B4-BE49-F238E27FC236}">
              <a16:creationId xmlns:a16="http://schemas.microsoft.com/office/drawing/2014/main" id="{F6EBBC3E-4139-4DCB-806D-A11ABE7F9CF2}"/>
            </a:ext>
          </a:extLst>
        </xdr:cNvPr>
        <xdr:cNvPicPr>
          <a:picLocks noChangeAspect="1"/>
        </xdr:cNvPicPr>
      </xdr:nvPicPr>
      <xdr:blipFill>
        <a:blip xmlns:r="http://schemas.openxmlformats.org/officeDocument/2006/relationships" r:embed="rId21"/>
        <a:stretch>
          <a:fillRect/>
        </a:stretch>
      </xdr:blipFill>
      <xdr:spPr>
        <a:xfrm>
          <a:off x="9374619" y="50309029"/>
          <a:ext cx="3350375" cy="2557738"/>
        </a:xfrm>
        <a:prstGeom prst="rect">
          <a:avLst/>
        </a:prstGeom>
      </xdr:spPr>
    </xdr:pic>
    <xdr:clientData/>
  </xdr:twoCellAnchor>
  <xdr:twoCellAnchor editAs="oneCell">
    <xdr:from>
      <xdr:col>17</xdr:col>
      <xdr:colOff>576984</xdr:colOff>
      <xdr:row>250</xdr:row>
      <xdr:rowOff>57441</xdr:rowOff>
    </xdr:from>
    <xdr:to>
      <xdr:col>23</xdr:col>
      <xdr:colOff>530714</xdr:colOff>
      <xdr:row>259</xdr:row>
      <xdr:rowOff>122479</xdr:rowOff>
    </xdr:to>
    <xdr:pic>
      <xdr:nvPicPr>
        <xdr:cNvPr id="25" name="Picture 24">
          <a:extLst>
            <a:ext uri="{FF2B5EF4-FFF2-40B4-BE49-F238E27FC236}">
              <a16:creationId xmlns:a16="http://schemas.microsoft.com/office/drawing/2014/main" id="{E1A25F8A-3DC8-4DC3-A40F-38C5C912BF88}"/>
            </a:ext>
          </a:extLst>
        </xdr:cNvPr>
        <xdr:cNvPicPr>
          <a:picLocks noChangeAspect="1"/>
        </xdr:cNvPicPr>
      </xdr:nvPicPr>
      <xdr:blipFill>
        <a:blip xmlns:r="http://schemas.openxmlformats.org/officeDocument/2006/relationships" r:embed="rId22"/>
        <a:stretch>
          <a:fillRect/>
        </a:stretch>
      </xdr:blipFill>
      <xdr:spPr>
        <a:xfrm>
          <a:off x="12829309" y="50311341"/>
          <a:ext cx="3893905" cy="1868438"/>
        </a:xfrm>
        <a:prstGeom prst="rect">
          <a:avLst/>
        </a:prstGeom>
      </xdr:spPr>
    </xdr:pic>
    <xdr:clientData/>
  </xdr:twoCellAnchor>
  <xdr:twoCellAnchor editAs="oneCell">
    <xdr:from>
      <xdr:col>1</xdr:col>
      <xdr:colOff>0</xdr:colOff>
      <xdr:row>262</xdr:row>
      <xdr:rowOff>0</xdr:rowOff>
    </xdr:from>
    <xdr:to>
      <xdr:col>10</xdr:col>
      <xdr:colOff>291911</xdr:colOff>
      <xdr:row>282</xdr:row>
      <xdr:rowOff>68326</xdr:rowOff>
    </xdr:to>
    <xdr:pic>
      <xdr:nvPicPr>
        <xdr:cNvPr id="26" name="Picture 25">
          <a:extLst>
            <a:ext uri="{FF2B5EF4-FFF2-40B4-BE49-F238E27FC236}">
              <a16:creationId xmlns:a16="http://schemas.microsoft.com/office/drawing/2014/main" id="{33C4B974-248B-D791-062D-29815CAA90BA}"/>
            </a:ext>
          </a:extLst>
        </xdr:cNvPr>
        <xdr:cNvPicPr>
          <a:picLocks noChangeAspect="1"/>
        </xdr:cNvPicPr>
      </xdr:nvPicPr>
      <xdr:blipFill>
        <a:blip xmlns:r="http://schemas.openxmlformats.org/officeDocument/2006/relationships" r:embed="rId23"/>
        <a:stretch>
          <a:fillRect/>
        </a:stretch>
      </xdr:blipFill>
      <xdr:spPr>
        <a:xfrm>
          <a:off x="277091" y="52430795"/>
          <a:ext cx="7556888" cy="4051508"/>
        </a:xfrm>
        <a:prstGeom prst="rect">
          <a:avLst/>
        </a:prstGeom>
      </xdr:spPr>
    </xdr:pic>
    <xdr:clientData/>
  </xdr:twoCellAnchor>
  <xdr:twoCellAnchor editAs="oneCell">
    <xdr:from>
      <xdr:col>11</xdr:col>
      <xdr:colOff>138545</xdr:colOff>
      <xdr:row>268</xdr:row>
      <xdr:rowOff>55006</xdr:rowOff>
    </xdr:from>
    <xdr:to>
      <xdr:col>25</xdr:col>
      <xdr:colOff>575416</xdr:colOff>
      <xdr:row>291</xdr:row>
      <xdr:rowOff>53284</xdr:rowOff>
    </xdr:to>
    <xdr:pic>
      <xdr:nvPicPr>
        <xdr:cNvPr id="27" name="Picture 26">
          <a:extLst>
            <a:ext uri="{FF2B5EF4-FFF2-40B4-BE49-F238E27FC236}">
              <a16:creationId xmlns:a16="http://schemas.microsoft.com/office/drawing/2014/main" id="{3217EED5-3618-6195-741E-0C0B9E072BFE}"/>
            </a:ext>
          </a:extLst>
        </xdr:cNvPr>
        <xdr:cNvPicPr>
          <a:picLocks noChangeAspect="1"/>
        </xdr:cNvPicPr>
      </xdr:nvPicPr>
      <xdr:blipFill>
        <a:blip xmlns:r="http://schemas.openxmlformats.org/officeDocument/2006/relationships" r:embed="rId24"/>
        <a:stretch>
          <a:fillRect/>
        </a:stretch>
      </xdr:blipFill>
      <xdr:spPr>
        <a:xfrm>
          <a:off x="8338704" y="53680756"/>
          <a:ext cx="9762712" cy="45789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26619\Desktop\Transplant\Transplant%20Matrix%20for%2010.1.2026%20PENDING\RATES%20TEAM%20Matrix%2010.1.2026_Draft%206.15.26.xlsx" TargetMode="External"/><Relationship Id="rId1" Type="http://schemas.openxmlformats.org/officeDocument/2006/relationships/externalLinkPath" Target="RATES%20TEAM%20Matrix%2010.1.2026_Draft%206.15.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226619\Desktop\Transplant\Transplant%20Matrix%20for%2010.1.2026%20PENDING\RATES%20TEAM%20Matrix%2010.1.2025%20as%20of%2011.24.2025.xlsx" TargetMode="External"/><Relationship Id="rId1" Type="http://schemas.openxmlformats.org/officeDocument/2006/relationships/externalLinkPath" Target="RATES%20TEAM%20Matrix%2010.1.2025%20as%20of%2011.24.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By Hospital"/>
      <sheetName val="Index By Type"/>
      <sheetName val="Formulas"/>
      <sheetName val="Updates &amp; QC 2026"/>
      <sheetName val="Updates &amp; QC 2025"/>
      <sheetName val="Change Log"/>
      <sheetName val="RatesForLookup"/>
      <sheetName val="2026_BannerMD_BMT_AUT_ADULT"/>
      <sheetName val="2026_BannerMD_BMT_ALLO_RELA"/>
      <sheetName val="2026_BannerMD_BMT_HAPLOID"/>
      <sheetName val="2026_BannerMD_BMT_ALLO_UNREL"/>
      <sheetName val="2026_BannerMD_TBI"/>
      <sheetName val="2026_BUMCP_HEART"/>
      <sheetName val="2026_BUMCP_KIDNEY_CADAVERIC"/>
      <sheetName val="2026_BUMCP_KIDNEY_LIVING"/>
      <sheetName val="2026_BUMCP_PANCREA_AFTER_KDY"/>
      <sheetName val="2026_BUMCP_SIM_KIDNEY_PANCR"/>
      <sheetName val="2026_BUMCP_CAD_LIVER"/>
      <sheetName val="2026_BUMCP_SIMUL_CAD_LIV_KDY"/>
      <sheetName val="2026_BUMCT_AUT_PEDS"/>
      <sheetName val="2026_BUMCT_ALLO_RELA_PEDS"/>
      <sheetName val="2026_BUMCT_HAPLOID_PEDS"/>
      <sheetName val="2026_BUMCT_ALLO_UNRE_PEDS"/>
      <sheetName val="2026_BUMCT_BMT_AUTO_ADULT"/>
      <sheetName val="2026_BUMCT_BMT_ALLO_REL_ADULT"/>
      <sheetName val="2026_BUMCT_BMT_HAPLOID_ADULT"/>
      <sheetName val="2026_BUMCT_BMT_ALLO_UNREL_ADULT"/>
      <sheetName val="2026_BUMCT_TBI"/>
      <sheetName val="2026_BUMCT_KIDNEY_LIVING"/>
      <sheetName val="2026_BUMCT_KIDNEY_CADAVERIC"/>
      <sheetName val="2026_BUMCT_PANCREAS_AFTER_KDY"/>
      <sheetName val="2026_BUMCT_SIM_PANCREA_KDY"/>
      <sheetName val="2026_CITYHOPE_BMT_AUT_ADULT"/>
      <sheetName val="2026_CITYHOPE_BMT_ALLO_UNREL_AD"/>
      <sheetName val="2026_CITYHOPE_BMT_ALLO_REL_ADUL"/>
      <sheetName val="2026_CITYHOPE_BMT_HAPLOID_ADULT"/>
      <sheetName val="2026_LPCH_BMT_AUT_PEDS"/>
      <sheetName val="2026_LPCH_ALLO_RELA_PEDS"/>
      <sheetName val="2026_LPCH_ALLO_UNREL_PEDS"/>
      <sheetName val="2026_LPCH_TBI_PED"/>
      <sheetName val="2026_LPCH_Living_Liver"/>
      <sheetName val="2026_LPCH_CAD_Liver"/>
      <sheetName val="2026_LPCH_SingleDouble_Lung"/>
      <sheetName val="2026_LPCH_Heart"/>
      <sheetName val="2026_LPCH_Heart_Lung"/>
      <sheetName val="2026_LPCH_Heart_Liver"/>
      <sheetName val="2026_LPCH_Multivis_CadDonor"/>
      <sheetName val="2026_LPCH_IntestineCadDonor"/>
      <sheetName val="2026_MAYO_BMT_AUT_ADULT"/>
      <sheetName val="2026_MAYO_BMT_ALLO_REL_ADULT"/>
      <sheetName val="2026_MAYO_HAPLOID_BMT_ADULT"/>
      <sheetName val="2026_MAYO_BMT_ALLO_UNR_ADUL"/>
      <sheetName val="2026_MAYO_BMT_AUT_PED"/>
      <sheetName val="2026_MAYO_BMT_ALLO_REL_PED"/>
      <sheetName val="2026_MAYO_HAPLOID_BMT_PED"/>
      <sheetName val="2026_MAYO_BMT_ALLO_UNR_PED"/>
      <sheetName val="2026_MAYO_TBI_ADULT_AND_PED"/>
      <sheetName val="2026_MAYO_PHX_HEART"/>
      <sheetName val="2026_MAYO_KIDNEY_LIVING"/>
      <sheetName val="2026_MAYO_KIDNEY_CADAVERIC"/>
      <sheetName val="2026_MAYO_CAD_LIVER_ADULT"/>
      <sheetName val="2026_MAYO_SIMU_CADV_LIV_KDY"/>
      <sheetName val="2026_MAYO_SIMU_KDY_PANCREAS"/>
      <sheetName val="2026_MAYO_PANCREASafter_KDY"/>
      <sheetName val="2026_PCH_PED_BMT_AUTO"/>
      <sheetName val="2026_PCH_PED_BMT_ALLO_RELATE"/>
      <sheetName val="2026_PCH_PED_HAPLOID"/>
      <sheetName val="2026_PCH_PED_BMT_ALLO_UNREL"/>
      <sheetName val="2026_PCH_BMT_AUT_ADULT"/>
      <sheetName val="2026_PCH_BMT_ADULT_ALLO_REL"/>
      <sheetName val="2026_PCH_ADULT_HAPLOID"/>
      <sheetName val="2026_PCH_ADULT_ALLO_UNREL"/>
      <sheetName val="2026_PCH_TBI"/>
      <sheetName val="2026_PCH_VOD"/>
      <sheetName val="2026_PCH_KIDNEY_LIVING"/>
      <sheetName val="2026_PCH_KIDNEY_CADAVERIC"/>
      <sheetName val="2026_PCH_PEDIATRIC_HEART"/>
      <sheetName val="2026_PCH_PED_CADAVER_LIVER"/>
      <sheetName val="2026_SCH_SHEA_BMT_AUTO"/>
      <sheetName val="2026_SCH_SHEA_BMT_ALLO_REL"/>
      <sheetName val="2026_SCH_SHEA_HAPLOID_BMT"/>
      <sheetName val="2026_SCH_SHEA_BMT_ALLO_UNREL"/>
      <sheetName val="2026_SCH_SHEA_TBI"/>
      <sheetName val="2026_ST_JOSEPHS_SINGLE_LUNG"/>
      <sheetName val="2026_ST_JOSEPHS_DOUBLE_LUNG"/>
      <sheetName val="2026_ST_JOES_SIMUL_CAD_LIV_KID"/>
      <sheetName val="2026_ST_JOSEPHS_CAD_LIVER_ADULT"/>
      <sheetName val="2026_ST_JOSEPHS_CAD_KIDNEY"/>
      <sheetName val="2026_ST_JOSEPHS_LIVING_KDY"/>
      <sheetName val="2026_STANFORD_HEART"/>
      <sheetName val="2026_STANFORD_SINGLE_DOUBL_LUNG"/>
      <sheetName val="2026_STANFORD_Heart_Lung"/>
      <sheetName val="2026_UCSF_PED_ALLO_UNR_MUDSCID"/>
      <sheetName val="2026_UCSF_PED_ALLO_REL_SCIDS"/>
      <sheetName val="2026_UCSF_PED_AUT_MUDSCID"/>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5_BUMCT_SINGLE_LUNG"/>
      <sheetName val="2025_BUMCT_DOUBLE_LUNG"/>
      <sheetName val="2025_PCH_PED_LIVING_LIVER"/>
      <sheetName val="2025_BUMCT_CAD_LIVER"/>
      <sheetName val="2025_BUMCT_SIMUL_CAD_LIV_KDY"/>
      <sheetName val="Formulas"/>
      <sheetName val="Updates &amp; QC"/>
      <sheetName val="Change Log"/>
      <sheetName val="RatesForLookup"/>
      <sheetName val="2025_CITYHOPE_BMT_ALLO_UNREL_AD"/>
      <sheetName val="2025_CITYHOPE_BMT_ALLO_REL_ADUL"/>
      <sheetName val="2025_CITYHOPE_BMT_HAPLOID_ADULT"/>
      <sheetName val="2025_BannerMD_BMT_AUT_ADULT"/>
      <sheetName val="2025_BannerMD_BMT_ALLO_RELA"/>
      <sheetName val="2025_BannerMD_BMT_HAPLOID"/>
      <sheetName val="2025_BannerMD_BMT_ALLO_UNREL"/>
      <sheetName val="2025_BannerMD_TBI"/>
      <sheetName val="2025_BUMCP_HEART"/>
      <sheetName val="2025_BUMCP_KIDNEY_CADAVERIC"/>
      <sheetName val="2025_BUMCP_KIDNEY_LIVING"/>
      <sheetName val="2025_BUMCP_PANCREA_AFTER_KDY"/>
      <sheetName val="2025_BUMCP_SIM_KIDNEY_PANCR"/>
      <sheetName val="2025_BUMCP_CAD_LIVER"/>
      <sheetName val="2025_BUMCP_SIMUL_CAD_LIV_KDY"/>
      <sheetName val="2025_BUMCT_AUT_PEDS"/>
      <sheetName val="2025_BUMCT_ALLO_RELA_PEDS"/>
      <sheetName val="2025_BUMCT_HAPLOID_PEDS"/>
      <sheetName val="2025_BUMCT_ALLO_UNRE_PEDS"/>
      <sheetName val="2025_BUMCT_BMT_AUTO_ADULT"/>
      <sheetName val="2025_BUMCT_BMT_ALLO_REL_ADULT"/>
      <sheetName val="2025_BUMCT_BMT_HAPLOID_ADULT"/>
      <sheetName val="2025_BUMCT_BMT_ALLO_UNREL_ADULT"/>
      <sheetName val="2025_BUMCT_TBI"/>
      <sheetName val="2025_BUMCT_KIDNEY_LIVING"/>
      <sheetName val="2025_BUMCT_KIDNEY_CADAVERIC"/>
      <sheetName val="2025_BUMCT_PANCREAS_AFTER_KDY"/>
      <sheetName val="2025_BUMCT_SIM_PANCREA_KDY"/>
      <sheetName val="2025_CITYHOPE_BMT_AUT_ADULT"/>
      <sheetName val="2025_LPCH_BMT_AUT_PEDS"/>
      <sheetName val="2025_LPCH_ALLO_RELA_PEDS"/>
      <sheetName val="2025_LPCH_ALLO_UNREL_PEDS"/>
      <sheetName val="2025_LPCH_TBI_PED"/>
      <sheetName val="2025_LPCH_Living_Liver"/>
      <sheetName val="2025_LPCH_CAD_Liver"/>
      <sheetName val="2025_LPCH_SingleDouble_Lung"/>
      <sheetName val="2025_LPCH_Heart"/>
      <sheetName val="2025_LPCH_Heart_Lung"/>
      <sheetName val="2025_LPCH_Heart_Liver"/>
      <sheetName val="2025_LPCH_Multivis_CadDonor"/>
      <sheetName val="2025_LPCH_IntestineCadDonor"/>
      <sheetName val="2025_MAYO_BMT_AUT_ADULT"/>
      <sheetName val="2025_MAYO_BMT_ALLO_REL_ADULT"/>
      <sheetName val="2025_MAYO_HAPLOID_BMT_ADULT"/>
      <sheetName val="2025_MAYO_BMT_ALLO_UNR_ADUL"/>
      <sheetName val="2025_MAYO_BMT_AUT_PED"/>
      <sheetName val="2025_MAYO_BMT_ALLO_REL_PED"/>
      <sheetName val="2025_MAYO_HAPLOID_BMT_PED"/>
      <sheetName val="2025_MAYO_BMT_ALLO_UNR_PED"/>
      <sheetName val="2025_MAYO_TBI_ADULT_AND_PED"/>
      <sheetName val="2025_MAYO_PHX_HEART"/>
      <sheetName val="2025_MAYO_KIDNEY_LIVING"/>
      <sheetName val="2025_MAYO_KIDNEY_CADAVERIC"/>
      <sheetName val="2025_MAYO_CAD_LIVER_ADULT"/>
      <sheetName val="2025_MAYO_SIMU_CADV_LIV_KDY"/>
      <sheetName val="2025_MAYO_SIMU_KDY_PANCREAS"/>
      <sheetName val="2025_MAYO_PANCREASafter_KDY"/>
      <sheetName val="2025_PCH_PED_BMT_AUTO"/>
      <sheetName val="2025_PCH_PED_BMT_ALLO_RELATE"/>
      <sheetName val="2025_PCH_PED_HAPLOID"/>
      <sheetName val="2025_PCH_PED_BMT_ALLO_UNREL"/>
      <sheetName val="2025_PCH_BMT_AUT_ADULT"/>
      <sheetName val="2025_PCH_BMT_ADULT_ALLO_REL"/>
      <sheetName val="2025_PCH_ADULT_HAPLOID"/>
      <sheetName val="2025_PCH_ADULT_ALLO_UNREL"/>
      <sheetName val="2025_PCH_TBI"/>
      <sheetName val="2025_PCH_VOD"/>
      <sheetName val="2025_PCH_KIDNEY_LIVING"/>
      <sheetName val="2025_PCH_KIDNEY_CADAVERIC"/>
      <sheetName val="2025_PCH_PEDIATRIC_HEART"/>
      <sheetName val="2025_PCH_PED_CADAVER_LIVER"/>
      <sheetName val="2025_SCH_SHEA_BMT_AUTO"/>
      <sheetName val="2025_SCH_SHEA_BMT_ALLO_REL"/>
      <sheetName val="2025_SCH_SHEA_HAPLOID_BMT"/>
      <sheetName val="2025_SCH_SHEA_BMT_ALLO_UNREL"/>
      <sheetName val="2025_SCH_SHEA_TBI"/>
      <sheetName val="2025_ST_JOSEPHS_SINGLE_LUNG"/>
      <sheetName val="2025_ST_JOSEPHS_DOUBLE_LUNG"/>
      <sheetName val="2025_ST_JOES_SIMUL_CAD_LIV_KID"/>
      <sheetName val="2025_ST_JOSEPHS_CAD_LIVER_ADULT"/>
      <sheetName val="2025_ST_JOSEPHS_CAD_KIDNEY"/>
      <sheetName val="2025_ST_JOSEPHS_LIVING_KDY"/>
      <sheetName val="2025_STANFORD_HEART"/>
      <sheetName val="2025_STANFORD_SINGLE_DOUBL_LUNG"/>
      <sheetName val="2025_STANFORD_Heart_Lung"/>
      <sheetName val="2025_UCSF_PED_ALLO_UNR_MUDSCID"/>
      <sheetName val="2025_UCSF_PED_ALLO_REL_SCIDS"/>
      <sheetName val="2025_UCSF_PED_AUT_MUDSC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hcccs.sharepoint.com/:x:/r/sites/DHCMReimbursement/Shared%20Documents/Transplant/Contract%202026/SP_Global_HealthCare_Cost_Tables_Q1_2025.xlsx?d=wf88652d81df845bf8743aa34071860b2&amp;csf=1&amp;web=1&amp;e=sa1WnN"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zahcccs.gov/PlansProviders/Downloads/FFSrates/Transplant/TransplantRatesEffective10012024RateUpdates10012024BannerTusconAdultLiverAdultHeartsus12132024.xlsx"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6B74E-4F0E-49AB-ADA7-357666484658}">
  <sheetPr codeName="Sheet1"/>
  <dimension ref="B2:F113"/>
  <sheetViews>
    <sheetView showGridLines="0" topLeftCell="A48" zoomScaleNormal="100" workbookViewId="0">
      <selection activeCell="C69" sqref="C69"/>
    </sheetView>
  </sheetViews>
  <sheetFormatPr defaultColWidth="8.625" defaultRowHeight="15.95"/>
  <cols>
    <col min="1" max="2" width="8.625" style="521"/>
    <col min="3" max="3" width="76.5" style="521" customWidth="1"/>
    <col min="4" max="5" width="8.625" style="521"/>
    <col min="6" max="6" width="104.25" style="521" customWidth="1"/>
    <col min="7" max="14" width="8.625" style="521"/>
    <col min="15" max="15" width="56" style="521" bestFit="1" customWidth="1"/>
    <col min="16" max="16384" width="8.625" style="521"/>
  </cols>
  <sheetData>
    <row r="2" spans="2:6" ht="23.45">
      <c r="B2" s="575" t="s">
        <v>0</v>
      </c>
      <c r="C2" s="575"/>
      <c r="D2" s="520"/>
      <c r="E2" s="520"/>
      <c r="F2" s="520"/>
    </row>
    <row r="4" spans="2:6" ht="23.45">
      <c r="B4" s="573" t="s">
        <v>1</v>
      </c>
      <c r="C4" s="574"/>
    </row>
    <row r="5" spans="2:6" ht="20.45">
      <c r="B5" s="522" t="s">
        <v>2</v>
      </c>
      <c r="C5" s="523"/>
    </row>
    <row r="6" spans="2:6">
      <c r="B6" s="524"/>
      <c r="C6" s="531" t="s">
        <v>3</v>
      </c>
    </row>
    <row r="7" spans="2:6">
      <c r="B7" s="524"/>
      <c r="C7" s="531" t="s">
        <v>4</v>
      </c>
    </row>
    <row r="8" spans="2:6">
      <c r="B8" s="524"/>
      <c r="C8" s="531" t="s">
        <v>5</v>
      </c>
    </row>
    <row r="9" spans="2:6">
      <c r="B9" s="524"/>
      <c r="C9" s="531" t="s">
        <v>6</v>
      </c>
    </row>
    <row r="10" spans="2:6">
      <c r="B10" s="524"/>
      <c r="C10" s="531" t="s">
        <v>7</v>
      </c>
    </row>
    <row r="11" spans="2:6">
      <c r="B11" s="527"/>
      <c r="C11" s="532" t="s">
        <v>8</v>
      </c>
    </row>
    <row r="12" spans="2:6" ht="20.45">
      <c r="B12" s="529" t="s">
        <v>9</v>
      </c>
      <c r="C12" s="530"/>
    </row>
    <row r="13" spans="2:6">
      <c r="B13" s="524"/>
      <c r="C13" s="531" t="s">
        <v>10</v>
      </c>
    </row>
    <row r="14" spans="2:6">
      <c r="B14" s="524"/>
      <c r="C14" s="531" t="s">
        <v>11</v>
      </c>
    </row>
    <row r="15" spans="2:6">
      <c r="B15" s="524"/>
      <c r="C15" s="531" t="s">
        <v>12</v>
      </c>
    </row>
    <row r="16" spans="2:6">
      <c r="B16" s="524"/>
      <c r="C16" s="531" t="s">
        <v>13</v>
      </c>
    </row>
    <row r="17" spans="2:3">
      <c r="B17" s="524"/>
      <c r="C17" s="531" t="s">
        <v>14</v>
      </c>
    </row>
    <row r="18" spans="2:3">
      <c r="B18" s="524"/>
      <c r="C18" s="531" t="s">
        <v>15</v>
      </c>
    </row>
    <row r="19" spans="2:3">
      <c r="B19" s="524"/>
      <c r="C19" s="531" t="s">
        <v>16</v>
      </c>
    </row>
    <row r="20" spans="2:3">
      <c r="B20" s="527"/>
      <c r="C20" s="532" t="s">
        <v>8</v>
      </c>
    </row>
    <row r="21" spans="2:3" ht="20.45">
      <c r="B21" s="529" t="s">
        <v>17</v>
      </c>
      <c r="C21" s="530"/>
    </row>
    <row r="22" spans="2:3">
      <c r="B22" s="524"/>
      <c r="C22" s="531" t="s">
        <v>3</v>
      </c>
    </row>
    <row r="23" spans="2:3">
      <c r="B23" s="524"/>
      <c r="C23" s="531" t="s">
        <v>4</v>
      </c>
    </row>
    <row r="24" spans="2:3">
      <c r="B24" s="524"/>
      <c r="C24" s="531" t="s">
        <v>5</v>
      </c>
    </row>
    <row r="25" spans="2:3">
      <c r="B25" s="524"/>
      <c r="C25" s="531" t="s">
        <v>6</v>
      </c>
    </row>
    <row r="26" spans="2:3">
      <c r="B26" s="524"/>
      <c r="C26" s="531" t="s">
        <v>11</v>
      </c>
    </row>
    <row r="27" spans="2:3">
      <c r="B27" s="524"/>
      <c r="C27" s="531" t="s">
        <v>13</v>
      </c>
    </row>
    <row r="28" spans="2:3">
      <c r="B28" s="524"/>
      <c r="C28" s="531" t="s">
        <v>14</v>
      </c>
    </row>
    <row r="29" spans="2:3">
      <c r="B29" s="524"/>
      <c r="C29" s="531" t="s">
        <v>18</v>
      </c>
    </row>
    <row r="30" spans="2:3">
      <c r="B30" s="524"/>
      <c r="C30" s="531" t="s">
        <v>19</v>
      </c>
    </row>
    <row r="31" spans="2:3">
      <c r="B31" s="524"/>
      <c r="C31" s="531" t="s">
        <v>20</v>
      </c>
    </row>
    <row r="32" spans="2:3">
      <c r="B32" s="524"/>
      <c r="C32" s="531" t="s">
        <v>21</v>
      </c>
    </row>
    <row r="33" spans="2:3">
      <c r="B33" s="524"/>
      <c r="C33" s="531" t="s">
        <v>22</v>
      </c>
    </row>
    <row r="34" spans="2:3">
      <c r="B34" s="524"/>
      <c r="C34" s="531" t="s">
        <v>7</v>
      </c>
    </row>
    <row r="35" spans="2:3">
      <c r="B35" s="527"/>
      <c r="C35" s="532" t="s">
        <v>8</v>
      </c>
    </row>
    <row r="36" spans="2:3" ht="20.45">
      <c r="B36" s="529" t="s">
        <v>23</v>
      </c>
      <c r="C36" s="530"/>
    </row>
    <row r="37" spans="2:3">
      <c r="B37" s="524"/>
      <c r="C37" s="531" t="s">
        <v>24</v>
      </c>
    </row>
    <row r="38" spans="2:3">
      <c r="B38" s="524"/>
      <c r="C38" s="531" t="s">
        <v>18</v>
      </c>
    </row>
    <row r="39" spans="2:3">
      <c r="B39" s="524"/>
      <c r="C39" s="531" t="s">
        <v>19</v>
      </c>
    </row>
    <row r="40" spans="2:3">
      <c r="B40" s="524"/>
      <c r="C40" s="531" t="s">
        <v>25</v>
      </c>
    </row>
    <row r="41" spans="2:3">
      <c r="B41" s="524"/>
      <c r="C41" s="531" t="s">
        <v>20</v>
      </c>
    </row>
    <row r="42" spans="2:3">
      <c r="B42" s="524"/>
      <c r="C42" s="531" t="s">
        <v>26</v>
      </c>
    </row>
    <row r="43" spans="2:3">
      <c r="B43" s="524"/>
      <c r="C43" s="531" t="s">
        <v>27</v>
      </c>
    </row>
    <row r="44" spans="2:3">
      <c r="B44" s="524"/>
      <c r="C44" s="531" t="s">
        <v>28</v>
      </c>
    </row>
    <row r="45" spans="2:3">
      <c r="B45" s="524"/>
      <c r="C45" s="531" t="s">
        <v>29</v>
      </c>
    </row>
    <row r="46" spans="2:3">
      <c r="B46" s="524"/>
      <c r="C46" s="531" t="s">
        <v>30</v>
      </c>
    </row>
    <row r="47" spans="2:3">
      <c r="B47" s="524"/>
      <c r="C47" s="531" t="s">
        <v>31</v>
      </c>
    </row>
    <row r="48" spans="2:3">
      <c r="B48" s="524"/>
      <c r="C48" s="531" t="s">
        <v>7</v>
      </c>
    </row>
    <row r="49" spans="2:3">
      <c r="B49" s="527"/>
      <c r="C49" s="532"/>
    </row>
    <row r="50" spans="2:3" ht="20.45">
      <c r="B50" s="529" t="s">
        <v>32</v>
      </c>
      <c r="C50" s="530"/>
    </row>
    <row r="51" spans="2:3">
      <c r="B51" s="524"/>
      <c r="C51" s="531" t="s">
        <v>3</v>
      </c>
    </row>
    <row r="52" spans="2:3">
      <c r="B52" s="524"/>
      <c r="C52" s="531" t="s">
        <v>33</v>
      </c>
    </row>
    <row r="53" spans="2:3">
      <c r="B53" s="524"/>
      <c r="C53" s="531" t="s">
        <v>5</v>
      </c>
    </row>
    <row r="54" spans="2:3">
      <c r="B54" s="524"/>
      <c r="C54" s="531" t="s">
        <v>10</v>
      </c>
    </row>
    <row r="55" spans="2:3">
      <c r="B55" s="524"/>
      <c r="C55" s="531" t="s">
        <v>6</v>
      </c>
    </row>
    <row r="56" spans="2:3">
      <c r="B56" s="524"/>
      <c r="C56" s="531" t="s">
        <v>11</v>
      </c>
    </row>
    <row r="57" spans="2:3">
      <c r="B57" s="524"/>
      <c r="C57" s="531" t="s">
        <v>12</v>
      </c>
    </row>
    <row r="58" spans="2:3">
      <c r="B58" s="524"/>
      <c r="C58" s="531" t="s">
        <v>13</v>
      </c>
    </row>
    <row r="59" spans="2:3">
      <c r="B59" s="524"/>
      <c r="C59" s="531" t="s">
        <v>14</v>
      </c>
    </row>
    <row r="60" spans="2:3">
      <c r="B60" s="524"/>
      <c r="C60" s="531" t="s">
        <v>18</v>
      </c>
    </row>
    <row r="61" spans="2:3">
      <c r="B61" s="524"/>
      <c r="C61" s="531" t="s">
        <v>19</v>
      </c>
    </row>
    <row r="62" spans="2:3">
      <c r="B62" s="524"/>
      <c r="C62" s="531" t="s">
        <v>20</v>
      </c>
    </row>
    <row r="63" spans="2:3">
      <c r="B63" s="524"/>
      <c r="C63" s="531" t="s">
        <v>34</v>
      </c>
    </row>
    <row r="64" spans="2:3">
      <c r="B64" s="524"/>
      <c r="C64" s="531" t="s">
        <v>16</v>
      </c>
    </row>
    <row r="65" spans="2:3">
      <c r="B65" s="524"/>
      <c r="C65" s="531" t="s">
        <v>35</v>
      </c>
    </row>
    <row r="66" spans="2:3">
      <c r="B66" s="524"/>
      <c r="C66" s="531" t="s">
        <v>7</v>
      </c>
    </row>
    <row r="67" spans="2:3">
      <c r="B67" s="527"/>
      <c r="C67" s="532"/>
    </row>
    <row r="68" spans="2:3" ht="20.45">
      <c r="B68" s="529" t="s">
        <v>36</v>
      </c>
      <c r="C68" s="530"/>
    </row>
    <row r="69" spans="2:3">
      <c r="B69" s="524"/>
      <c r="C69" s="531" t="s">
        <v>3</v>
      </c>
    </row>
    <row r="70" spans="2:3">
      <c r="B70" s="524"/>
      <c r="C70" s="531" t="s">
        <v>4</v>
      </c>
    </row>
    <row r="71" spans="2:3">
      <c r="B71" s="524"/>
      <c r="C71" s="531" t="s">
        <v>5</v>
      </c>
    </row>
    <row r="72" spans="2:3">
      <c r="B72" s="524"/>
      <c r="C72" s="531" t="s">
        <v>6</v>
      </c>
    </row>
    <row r="73" spans="2:3">
      <c r="B73" s="524"/>
      <c r="C73" s="531" t="s">
        <v>37</v>
      </c>
    </row>
    <row r="74" spans="2:3">
      <c r="B74" s="524"/>
      <c r="C74" s="531" t="s">
        <v>18</v>
      </c>
    </row>
    <row r="75" spans="2:3">
      <c r="B75" s="524"/>
      <c r="C75" s="531" t="s">
        <v>19</v>
      </c>
    </row>
    <row r="76" spans="2:3">
      <c r="B76" s="524"/>
      <c r="C76" s="531" t="s">
        <v>20</v>
      </c>
    </row>
    <row r="77" spans="2:3">
      <c r="B77" s="524"/>
      <c r="C77" s="531" t="s">
        <v>38</v>
      </c>
    </row>
    <row r="78" spans="2:3">
      <c r="B78" s="524"/>
      <c r="C78" s="531" t="s">
        <v>34</v>
      </c>
    </row>
    <row r="79" spans="2:3">
      <c r="B79" s="524"/>
      <c r="C79" s="531" t="s">
        <v>28</v>
      </c>
    </row>
    <row r="80" spans="2:3">
      <c r="B80" s="524"/>
      <c r="C80" s="531" t="s">
        <v>39</v>
      </c>
    </row>
    <row r="81" spans="2:3">
      <c r="B81" s="524"/>
      <c r="C81" s="531" t="s">
        <v>40</v>
      </c>
    </row>
    <row r="82" spans="2:3">
      <c r="B82" s="524"/>
      <c r="C82" s="531" t="s">
        <v>7</v>
      </c>
    </row>
    <row r="83" spans="2:3">
      <c r="B83" s="527"/>
      <c r="C83" s="532" t="s">
        <v>8</v>
      </c>
    </row>
    <row r="84" spans="2:3" ht="20.45">
      <c r="B84" s="529" t="s">
        <v>41</v>
      </c>
      <c r="C84" s="530"/>
    </row>
    <row r="85" spans="2:3">
      <c r="B85" s="524"/>
      <c r="C85" s="531" t="s">
        <v>3</v>
      </c>
    </row>
    <row r="86" spans="2:3">
      <c r="B86" s="524"/>
      <c r="C86" s="531" t="s">
        <v>4</v>
      </c>
    </row>
    <row r="87" spans="2:3">
      <c r="B87" s="524"/>
      <c r="C87" s="531" t="s">
        <v>5</v>
      </c>
    </row>
    <row r="88" spans="2:3">
      <c r="B88" s="524"/>
      <c r="C88" s="531" t="s">
        <v>6</v>
      </c>
    </row>
    <row r="89" spans="2:3">
      <c r="B89" s="524"/>
      <c r="C89" s="531" t="s">
        <v>7</v>
      </c>
    </row>
    <row r="90" spans="2:3">
      <c r="B90" s="527"/>
      <c r="C90" s="532" t="s">
        <v>8</v>
      </c>
    </row>
    <row r="91" spans="2:3" ht="20.45">
      <c r="B91" s="529" t="s">
        <v>42</v>
      </c>
      <c r="C91" s="530"/>
    </row>
    <row r="92" spans="2:3">
      <c r="B92" s="524"/>
      <c r="C92" s="531" t="s">
        <v>10</v>
      </c>
    </row>
    <row r="93" spans="2:3">
      <c r="B93" s="524"/>
      <c r="C93" s="531" t="s">
        <v>43</v>
      </c>
    </row>
    <row r="94" spans="2:3">
      <c r="B94" s="524"/>
      <c r="C94" s="531" t="s">
        <v>44</v>
      </c>
    </row>
    <row r="95" spans="2:3">
      <c r="B95" s="524"/>
      <c r="C95" s="531" t="s">
        <v>45</v>
      </c>
    </row>
    <row r="96" spans="2:3">
      <c r="B96" s="524"/>
      <c r="C96" s="531" t="s">
        <v>46</v>
      </c>
    </row>
    <row r="97" spans="2:3">
      <c r="B97" s="524"/>
      <c r="C97" s="531" t="s">
        <v>47</v>
      </c>
    </row>
    <row r="98" spans="2:3">
      <c r="B98" s="527"/>
      <c r="C98" s="532" t="s">
        <v>8</v>
      </c>
    </row>
    <row r="99" spans="2:3" ht="20.45">
      <c r="B99" s="529" t="s">
        <v>48</v>
      </c>
      <c r="C99" s="530"/>
    </row>
    <row r="100" spans="2:3">
      <c r="B100" s="524"/>
      <c r="C100" s="531" t="s">
        <v>49</v>
      </c>
    </row>
    <row r="101" spans="2:3">
      <c r="B101" s="524"/>
      <c r="C101" s="531" t="s">
        <v>12</v>
      </c>
    </row>
    <row r="102" spans="2:3">
      <c r="B102" s="524"/>
      <c r="C102" s="531" t="s">
        <v>50</v>
      </c>
    </row>
    <row r="103" spans="2:3">
      <c r="B103" s="527"/>
      <c r="C103" s="532" t="s">
        <v>8</v>
      </c>
    </row>
    <row r="104" spans="2:3" ht="20.45">
      <c r="B104" s="529" t="s">
        <v>51</v>
      </c>
      <c r="C104" s="530"/>
    </row>
    <row r="105" spans="2:3">
      <c r="B105" s="524"/>
      <c r="C105" s="531" t="s">
        <v>52</v>
      </c>
    </row>
    <row r="106" spans="2:3">
      <c r="B106" s="524"/>
      <c r="C106" s="531" t="s">
        <v>53</v>
      </c>
    </row>
    <row r="107" spans="2:3">
      <c r="B107" s="524"/>
      <c r="C107" s="531" t="s">
        <v>54</v>
      </c>
    </row>
    <row r="108" spans="2:3">
      <c r="B108" s="527"/>
      <c r="C108" s="532"/>
    </row>
    <row r="109" spans="2:3" ht="20.45">
      <c r="B109" s="522" t="s">
        <v>55</v>
      </c>
      <c r="C109" s="523"/>
    </row>
    <row r="110" spans="2:3">
      <c r="B110" s="524"/>
      <c r="C110" s="531" t="s">
        <v>3</v>
      </c>
    </row>
    <row r="111" spans="2:3">
      <c r="B111" s="524"/>
      <c r="C111" s="531" t="s">
        <v>4</v>
      </c>
    </row>
    <row r="112" spans="2:3">
      <c r="B112" s="524"/>
      <c r="C112" s="531" t="s">
        <v>5</v>
      </c>
    </row>
    <row r="113" spans="2:3">
      <c r="B113" s="526"/>
      <c r="C113" s="533" t="s">
        <v>6</v>
      </c>
    </row>
  </sheetData>
  <sortState xmlns:xlrd2="http://schemas.microsoft.com/office/spreadsheetml/2017/richdata2" ref="F58:F60">
    <sortCondition ref="F58:F60"/>
  </sortState>
  <mergeCells count="2">
    <mergeCell ref="B4:C4"/>
    <mergeCell ref="B2:C2"/>
  </mergeCells>
  <hyperlinks>
    <hyperlink ref="C8" location="'2026_BannerMD_BMT_AUT_ADULT'!A1" display="Adult Autologous Bone Marrow Transplant Contract (AUT)" xr:uid="{64E851C1-C51B-427A-9A38-EE83C6A6C2B4}"/>
    <hyperlink ref="C6" location="'2026_BannerMD_BMT_ALLO_RELA'!A1" display="Adult Allogeneic Related Bone Marrow Transplant Contract (ALO)" xr:uid="{2813F010-9A39-428F-AB55-A3500D4E89A2}"/>
    <hyperlink ref="C9" location="'2026_BannerMD_BMT_HAPLOID'!A1" display="Adult HAPloid Hematopoietic Stem Cell Transplant Contract (HAP)" xr:uid="{18ED988A-27BE-4211-8C56-B0842D96E1C0}"/>
    <hyperlink ref="C7" location="'2026_BannerMD_BMT_ALLO_UNREL'!A1" display="Adult Allogeneic Unrelated Bone Marrow Transplant Contract (ALU)" xr:uid="{D8BBBD46-729E-4CE1-9277-4FD0E787C934}"/>
    <hyperlink ref="C10" location="'2026_BannerMD_TBI'!A1" display="Total Body Irradiation (TBI)" xr:uid="{C93F26B8-030C-411F-BDDF-57B9223D35A9}"/>
    <hyperlink ref="C15" location="'2026_BUMCP_HEART'!A1" display="Heart Transplant Contract (HRT)" xr:uid="{866BA81F-A62C-4461-A6D6-DE7E8A96EC9A}"/>
    <hyperlink ref="C14" location="'2026_BUMCP_KIDNEY_CADAVERIC'!A1" display="Cadaveric Donor Kidney Transplant Contract (CKY)" xr:uid="{FBAB272F-FC5E-4041-9DAE-3E326B070B53}"/>
    <hyperlink ref="C16" location="'2026_BUMCP_KIDNEY_LIVING'!A1" display="Living Donor Kidney Transplant Contract (KDY)" xr:uid="{941391F0-7EF8-4B62-B1AC-EAC4403C5BC6}"/>
    <hyperlink ref="C17" location="'2026_BUMCP_PANCREA_AFTER_KDY'!A1" display="Pancreas After Kidney Transplant Contract (PAK)" xr:uid="{B4483C4B-7A76-45E9-A71E-1F1D2E101C73}"/>
    <hyperlink ref="C18" location="'2026_BUMCP_SIM_KIDNEY_PANCR'!A1" display="Simulataneous Kidney/Pancreas Transplant Contract (SPK)" xr:uid="{273CFE28-212F-4D92-98B6-ADE70D060479}"/>
    <hyperlink ref="C13" location="'2026_BUMCP_CAD_LIVER'!A1" display="Adult Cadaveric LIVer Transplant Contract (LIV)" xr:uid="{1C60EEB2-7475-45C0-9E38-A6881267E065}"/>
    <hyperlink ref="C19" location="'2026_BUMCP_SIM_KIDNEY_PANCR'!A1" display="Simultaneous Cadaveric LIVer/Kidney Transplant Contract (SLK)" xr:uid="{A2C0CE12-8237-450E-A0E4-0F84CEF824DC}"/>
    <hyperlink ref="C31" location="'2026_BUMCT_AUT_PEDS'!A1" display="Pediatric Autologous Bone Marrow Transplant Contract (PAU)" xr:uid="{09CD4094-F25C-4567-A667-119134C4C6B1}"/>
    <hyperlink ref="C29" location="'2026_BUMCT_ALLO_RELA_PEDS'!A1" display="Pediatric Allogeneic Related Bone Marrow Transplant Contract (PAL)" xr:uid="{54D5A527-496F-4B8D-B758-E07C29FF1F1F}"/>
    <hyperlink ref="C32" location="'2026_BUMCT_HAPLOID_PEDS'!A1" display="Pediatric HAPloid Hematopoietic Stem Cell Transplant Contract (PHA)" xr:uid="{8BC8D254-D4C0-4D6A-9E50-007F5D621DFE}"/>
    <hyperlink ref="C30" location="'2026_BUMCT_ALLO_UNRE_PEDS'!A1" display="Pediatric Allogeneic Unrelated Bone Marrow Transplant Contract (PLU)" xr:uid="{F9081D25-EA3E-49DD-BFAD-B7870D62C7A1}"/>
    <hyperlink ref="C24" location="'2026_BUMCT_BMT_AUTO_ADULT'!A1" display="Adult Autologous Bone Marrow Transplant Contract (AUT)" xr:uid="{ED7371A3-864F-4A1E-A40A-A18CD1E8B0EA}"/>
    <hyperlink ref="C22" location="'2026_BUMCT_BMT_ALLO_REL_ADULT'!A1" display="Adult Allogeneic Related Bone Marrow Transplant Contract (ALO)" xr:uid="{BA86CDEF-6687-4F77-AB54-788A2E23A2E9}"/>
    <hyperlink ref="C25" location="'2026_BUMCT_BMT_HAPLOID_ADULT'!A1" display="Adult HAPloid Hematopoietic Stem Cell Transplant Contract (HAP)" xr:uid="{AC8F63CE-A10B-45DF-BE51-6D37200C0D41}"/>
    <hyperlink ref="C23" location="'2026_BUMCT_BMT_ALLO_UNREL_ADULT'!A1" display="Adult Allogeneic Unrelated Bone Marrow Transplant Contract (ALU)" xr:uid="{023E3028-57B7-485F-A4EA-6AD0A09EE37B}"/>
    <hyperlink ref="C34" location="'2026_BUMCT_TBI'!A1" display="Total Body Irradiation (TBI)" xr:uid="{EF8BA76E-F5C0-4934-B8F7-9B5C37C67391}"/>
    <hyperlink ref="C27" location="'2026_BUMCT_KIDNEY_LIVING'!A1" display="Living Donor Kidney Transplant Contract (KDY)" xr:uid="{5C1F4549-644B-4C19-BE68-0D06D776D76C}"/>
    <hyperlink ref="C26" location="'2026_BUMCT_KIDNEY_CADAVERIC'!A1" display="Cadaveric Donor Kidney Transplant Contract (CKY)" xr:uid="{2AB1CD20-80E6-41B9-817F-6D62977DE3B3}"/>
    <hyperlink ref="C28" location="'2026_BUMCT_PANCREAS_AFTER_KDY'!A1" display="Pancreas After Kidney Transplant Contract (PAK)" xr:uid="{F1F2893B-5F6E-4362-8CBE-8C24A8ED5756}"/>
    <hyperlink ref="C33" location="'2026_BUMCT_SIM_PANCREA_KDY'!A1" display="Simultaneous Kidney-Pancreas Transplant Contract (SPK)" xr:uid="{1F7393B8-9728-4C41-8B4D-728BA9719F8F}"/>
    <hyperlink ref="C112" location="'2026_CITYHOPE_BMT_AUT_ADULT'!A1" display="Adult Autologous Bone Marrow Transplant Contract (AUT)" xr:uid="{A9C68562-4745-4AE7-8BE7-1D2F99141055}"/>
    <hyperlink ref="C111" location="'2026_CITYHOPE_BMT_ALLO_UNREL_AD'!A1" display="Adult Allogeneic Unrelated Bone Marrow Transplant Contract (ALU)" xr:uid="{633D6A45-7242-4D11-8801-BBA8224B709F}"/>
    <hyperlink ref="C110" location="'2026_CITYHOPE_BMT_ALLO_REL_ADUL'!A1" display="Adult Allogeneic Related Bone Marrow Transplant Contract (ALO)" xr:uid="{2C4D61C7-BCF5-40DC-8783-85DC089ED864}"/>
    <hyperlink ref="C113" location="'2026_CITYHOPE_BMT_HAPLOID_ADULT'!A1" display="Adult HAPloid Hematopoietic Stem Cell Transplant Contract (HAP)" xr:uid="{4B8AA54F-771B-4A81-B93C-9F09E64E9ED7}"/>
    <hyperlink ref="C41" location="'2026_LPCH_BMT_AUT_PEDS'!A1" display="Pediatric Autologous Bone Marrow Transplant Contract (PAU)" xr:uid="{C341633A-DE61-44EA-AB9C-58FCBB5BFD34}"/>
    <hyperlink ref="C38" location="'2026_LPCH_ALLO_RELA_PEDS'!A1" display="Pediatric Allogeneic Related Bone Marrow Transplant Contract (PAL)" xr:uid="{EEBA3BA1-C0F3-411B-B40A-6275F358868E}"/>
    <hyperlink ref="C39" location="'2026_LPCH_ALLO_UNREL_PEDS'!A1" display="Pediatric Allogeneic Unrelated Bone Marrow Transplant Contract (PLU)" xr:uid="{C195D06F-6BF8-4E61-8457-99DFF21CB002}"/>
    <hyperlink ref="C48" location="'2026_LPCH_TBI_PED'!A1" display="Total Body Irradiation (TBI)" xr:uid="{4BFBE56C-6FD7-406B-8A7C-277E92D0E223}"/>
    <hyperlink ref="C46" location="'2026_LPCH_Living_Liver'!A1" display="Pediatric LIVer Transplant (PLL)" xr:uid="{534BAD2D-793C-4E45-B028-2046ADD15640}"/>
    <hyperlink ref="C47" location="'2026_LPCH_CAD_Liver'!A1" display="Pediatric LIVer Transplant (PLV)" xr:uid="{A6668CE9-4A54-4AC9-AE96-E4FB1F910C87}"/>
    <hyperlink ref="C42" location="'2026_LPCH_SingleDouble_Lung'!A1" display="Pediatric Double Lung (PDL) Transplant Contract (Includes Single Lung) (PLS)" xr:uid="{1EC8AAD0-C825-48B7-BD4B-507E97D8DB34}"/>
    <hyperlink ref="C44" location="'2026_LPCH_Heart'!A1" display="Pediatric Heart Transplant (PHT)" xr:uid="{78F7E767-40C2-4356-9F83-DE10F5DF657E}"/>
    <hyperlink ref="C40" location="'2026_LPCH_Heart_Liver'!A1" display="Pediatric And Young Adult Heart And LIVer Transplant Contract (Plh)" xr:uid="{E6C456CC-8212-4310-913D-955EE8D8DB85}"/>
    <hyperlink ref="C43" location="'2026_LPCH_Heart_Lung'!A1" display="Pediatric Heart And Lung Transplant Contract (Phl)" xr:uid="{F963B82D-AB13-4323-82C3-BA3A7CF5D1B5}"/>
    <hyperlink ref="C37" location="'2026_LPCH_Multivis_CadDonor'!A1" display="Multi-Visceral Cadaveric Donor (Intestine, LIVer, Pancreas En Bloc)" xr:uid="{9E081C0F-8434-4E52-AFDD-3D2F28728ACE}"/>
    <hyperlink ref="C45" location="'2026_LPCH_IntestineCadDonor'!A1" display="Single Organ, And/Or Intestine Cadaveric Donor" xr:uid="{D6332309-744D-412D-8AED-77BECFD75896}"/>
    <hyperlink ref="C107" location="'2026_UCSF_PED_AUT_MUDSCID'!A1" display="Pediatric Autologous Bone Marrow Transplant Contract Scid Only (PAU)" xr:uid="{5D47A790-5D74-4D8A-AD9A-73303D527CE6}"/>
    <hyperlink ref="C106" location="'2026_UCSF_PED_ALLO_REL_SCIDS'!A1" display="Pediatric Allogeneic Related Bone Marrow Transplant Contract Scid Only (PAL)" xr:uid="{00B832B9-A930-44AB-BC87-4DD8BF2D2BC3}"/>
    <hyperlink ref="C105" location="'2026_UCSF_PED_ALLO_UNR_MUDSCID'!A1" display="Allogeneic Unrelated Pediatric Bone Marrow Transplant Contract Scid Only (PLU)" xr:uid="{D2F8EE14-D5FC-4164-8B80-4F58BC5755CD}"/>
    <hyperlink ref="C100" location="'2026_STANFORD_Heart_Lung'!A1" display="Adult Heart And Lung Transplant (HLT)" xr:uid="{0690E283-2091-480E-BE83-FC03210F3F4E}"/>
    <hyperlink ref="C102" location="'2026_STANFORD_SINGLE_DOUBL_LUNG'!A1" display="Single Lung Transplant Contract (SLT) Or Double Lung Transplant (DLL)" xr:uid="{CF6F9ED4-E3E3-42CA-842B-59254E87972E}"/>
    <hyperlink ref="C101" location="'2026_STANFORD_HEART'!A1" display="Heart Transplant Contract (HRT)" xr:uid="{CBE5EFD6-3942-4758-8BCB-A2D3E799F32E}"/>
    <hyperlink ref="C95" location="'2026_ST_JOSEPHS_LIVING_KDY'!A1" display="Living Donor Kidney Transplant (KDY)" xr:uid="{72A97226-2C7E-4262-96B1-F1C771A89C79}"/>
    <hyperlink ref="C93" location="'2026_ST_JOSEPHS_CAD_LIVER_ADULT'!A1" display="Cadaveric Donor Kidney Transplant (CKY)" xr:uid="{22084D50-7961-4740-B987-827F79518B01}"/>
    <hyperlink ref="C92" location="'2026_ST_JOSEPHS_CAD_LIVER_ADULT'!A1" display="Adult Cadaveric LIVer Transplant Contract (LIV)" xr:uid="{8F2C08A6-5A28-4B23-A749-DC756C3E36AE}"/>
    <hyperlink ref="C96" location="'2026_ST_JOES_SIMUL_CAD_LIV_KID'!A1" display="Simultaneous Cadaveric LIVer And Kidney Transplant Contract (SLK)" xr:uid="{504C2835-C5C9-4113-A127-AF5F5F43EF4A}"/>
    <hyperlink ref="C94" location="'2026_ST_JOSEPHS_DOUBLE_LUNG'!A1" display="Double Lung Transplant (DLL)" xr:uid="{C04260F1-3084-4642-BC94-9584823E50F0}"/>
    <hyperlink ref="C97" location="'2026_ST_JOSEPHS_SINGLE_LUNG'!A1" display="Single Lung Transplant Contract (SLT)" xr:uid="{7662BD2A-C142-419E-83E4-D2D5750F94FA}"/>
    <hyperlink ref="C89" location="'2026_SCH_SHEA_TBI'!A1" display="Total Body Irradiation (TBI)" xr:uid="{F1B5D6E9-340E-4D22-8152-0072F484D144}"/>
    <hyperlink ref="C86" location="'2026_SCH_SHEA_BMT_ALLO_UNREL'!A1" display="Adult Allogeneic Unrelated Bone Marrow Transplant Contract (ALU)" xr:uid="{8A41409B-C9A6-4BD2-AEB8-140D9B3A1318}"/>
    <hyperlink ref="C88" location="'2026_SCH_SHEA_HAPLOID_BMT'!A1" display="Adult HAPloid Hematopoietic Stem Cell Transplant Contract (HAP)" xr:uid="{37775945-E219-4CD1-BE08-4B64F7C1D75B}"/>
    <hyperlink ref="C85" location="'2026_SCH_SHEA_BMT_ALLO_REL'!A1" display="Adult Allogeneic Related Bone Marrow Transplant Contract (ALO)" xr:uid="{906E5167-7A2A-44CC-994A-BE9C26C210EB}"/>
    <hyperlink ref="C87" location="'2026_SCH_SHEA_BMT_AUTO'!A1" display="Adult Autologous Bone Marrow Transplant Contract (AUT)" xr:uid="{630882D3-50E8-4877-9D85-7FD5CAEA1221}"/>
    <hyperlink ref="C76" location="'2026_PCH_PED_BMT_AUTO'!A1" display="Pediatric Autologous Bone Marrow Transplant Contract (PAU)" xr:uid="{B813D295-6F71-4810-AB11-8B4E87D4B268}"/>
    <hyperlink ref="C74" location="'2026_PCH_PED_BMT_ALLO_RELATE'!A1" display="Pediatric Allogeneic Related Bone Marrow Transplant Contract (PAL)" xr:uid="{AA75DFCF-EB89-443C-B310-D20C3E20F5EE}"/>
    <hyperlink ref="C78" location="'2026_PCH_PED_HAPLOID'!A1" display="Pediatric HAPloid Related Hematopoietic Stem Cell Transplant Contract (PHA)" xr:uid="{ECA55B7D-0774-4E06-86C9-D6971ED969E7}"/>
    <hyperlink ref="C75" location="'2026_PCH_PED_BMT_ALLO_UNREL'!A1" display="Pediatric Allogeneic Unrelated Bone Marrow Transplant Contract (PLU)" xr:uid="{749E2B01-D89B-495B-957B-FBC13983E519}"/>
    <hyperlink ref="C77" location="'2026_PCH_PED_CADAVER_LIVER'!A1" display="Pediatric Cadaveric LIVer Transplant (PLV)" xr:uid="{439C7027-1431-41B1-B7F0-F70A006EC945}"/>
    <hyperlink ref="C79" location="'2026_PCH_PEDIATRIC_HEART'!A1" display="Pediatric Heart Transplant (PHT)" xr:uid="{E5C025CE-944D-4C8E-A00A-1F5F83DEE118}"/>
    <hyperlink ref="C80" location="'2026_PCH_KIDNEY_CADAVERIC'!A1" display="Pediatric Kidney Cadaveric Donor Transplant Contract (PCK)" xr:uid="{078C1004-0577-42B3-A5CD-5E15C029D742}"/>
    <hyperlink ref="C81" location="'2026_PCH_KIDNEY_LIVING'!A1" display="Pediatric Kidney Living Donor Transplant Contract (PKY)" xr:uid="{262731D4-F020-4C31-94E2-29364A7681B1}"/>
    <hyperlink ref="C71" location="'2026_PCH_BMT_AUT_ADULT'!A1" display="Adult Autologous Bone Marrow Transplant Contract (AUT)" xr:uid="{4085C293-C82D-4230-9C8D-B7319AA13A25}"/>
    <hyperlink ref="C69" location="'2026_PCH_BMT_ADULT_ALLO_REL'!A1" display="Adult Allogeneic Related Bone Marrow Transplant Contract (ALO)" xr:uid="{E2BAEC53-9D8E-4E07-9095-1F206723077C}"/>
    <hyperlink ref="C72" location="'2026_PCH_ADULT_HAPLOID'!A1" display="Adult HAPloid Hematopoietic Stem Cell Transplant Contract (HAP)" xr:uid="{23E5DE48-1C6A-4BC7-A027-6BB50A402990}"/>
    <hyperlink ref="C70" location="'2026_PCH_ADULT_ALLO_UNREL'!A1" display="Adult Allogeneic Unrelated Bone Marrow Transplant Contract (ALU)" xr:uid="{9BB55050-ABAC-4966-9AE3-BCB8BCEF808B}"/>
    <hyperlink ref="C82" location="'2026_PCH_TBI'!A1" display="Total Body Irradiation (TBI)" xr:uid="{B14FA6C2-DF6A-447C-9477-59D7151B2484}"/>
    <hyperlink ref="C73" location="'2026_PCH_VOD'!A1" display="Defibrotide Drug Therapy For The Treatment Of Venous Occlusive Disease Contract (Vod)" xr:uid="{FF504C9E-14B2-4936-B2CF-23B7A5DE74CC}"/>
    <hyperlink ref="C53" location="'2026_MAYO_BMT_AUT_ADULT'!A1" display="Adult Autologous Bone Marrow Transplant Contract (AUT)" xr:uid="{DB78CAE1-5572-4900-981A-3E116F18D1E3}"/>
    <hyperlink ref="C51" location="'2026_MAYO_BMT_ALLO_REL_ADULT'!A1" display="Adult Allogeneic Related Bone Marrow Transplant Contract (ALO)" xr:uid="{09234E60-BBCC-41E1-93CA-507A9A45FF87}"/>
    <hyperlink ref="C55" location="'2026_MAYO_HAPLOID_BMT_ADULT'!A1" display=" Adult Haploid Hematopoietic Stem Cell Transplant Contract (HAP)" xr:uid="{74791665-4777-4688-B827-7050072AE54A}"/>
    <hyperlink ref="C52" location="'2026_MAYO_BMT_ALLO_UNR_ADUL'!A1" display="Adult  Allogenic Unrelated Bone Marrow Transplant Contract (ALU)" xr:uid="{043CC0E5-E2E6-48A4-B77D-8C3BABDA9769}"/>
    <hyperlink ref="C62" location="'2026_MAYO_BMT_AUT_PED'!A1" display=" Pediatric Autologous Bone Marrow Transplant Contract (PAU)" xr:uid="{23A6524A-7431-49C5-A1ED-477ACB8A90B5}"/>
    <hyperlink ref="C60" location="'2026_MAYO_BMT_ALLO_REL_PED'!A1" display=" Pediatric Allogeneic Related Bone Marrow Transplant Contract (PAL)" xr:uid="{FC54A73B-3A94-4DE8-8AE7-45684B51C58D}"/>
    <hyperlink ref="C63" location="'2026_MAYO_HAPLOID_BMT_PED'!A1" display="Pediatric  Haploid Related Hematopoietic Stem Cell Transplant Contract (PHA)" xr:uid="{5EB986AB-1DE8-455B-B825-06DF46DAA315}"/>
    <hyperlink ref="C61" location="'2026_MAYO_BMT_ALLO_UNR_PED'!A1" display="Pediatric  Allogeneic Unrelated Bone Marrow Transplant Contract (PLU)" xr:uid="{C43A39E4-CDD6-40DE-838C-F4BCF1EB8969}"/>
    <hyperlink ref="C66" location="'2026_MAYO_TBI_ADULT_AND_PED'!A1" display="Total Body Irradiation (TBI)" xr:uid="{418AD383-D1D6-4F08-A96C-4AEF58819EAE}"/>
    <hyperlink ref="C57" location="'2026_MAYO_PHX_HEART'!A1" display="Heart Transplant Contract (HRT)" xr:uid="{DE0AEA6C-75F3-42B2-B881-252FB940A535}"/>
    <hyperlink ref="C58" location="'2026_MAYO_KIDNEY_LIVING'!A1" display="Living Donor Kidney Transplant Contract (KDY)" xr:uid="{6D707A2A-0001-45AD-A07F-C1D8E137D89E}"/>
    <hyperlink ref="C56" location="'2026_MAYO_KIDNEY_CADAVERIC'!A1" display="Cadaveric Donor Kidney Transplant Contract (CKY)" xr:uid="{D68446B7-3ACB-4744-93E3-BD9EF06A5CAB}"/>
    <hyperlink ref="C54" location="'2026_MAYO_SIMU_CADV_LIV_KDY'!A1" display="Adult Cadaveric Liver Transplant Contract (LIV)" xr:uid="{0F8F6DA9-2508-46B1-9A60-352D44EF6410}"/>
    <hyperlink ref="C64" location="'2026_MAYO_SIMU_CADV_LIV_KDY'!A1" display="Simultaneous Cadaveric Liver/Kidney Transplant Contract (SLK)" xr:uid="{711FD506-B286-4C08-904C-62550A0054EB}"/>
    <hyperlink ref="C65" location="'2026_MAYO_SIMU_KDY_PANCREAS'!A1" display="Simultaneous Kidney/Pancreas Transplant Contract (SPK)" xr:uid="{89B3143E-C873-4D3A-81EB-E083A863614D}"/>
    <hyperlink ref="C59" location="'2026_MAYO_PANCREASafter_KDY'!A1" display="Pancreas After Kidney Transplant Contract (PAK)" xr:uid="{D8FC9373-F97E-4532-91F5-0AFC924FB6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359C0-8D1D-4008-8A0D-21F6F8A7E338}">
  <sheetPr codeName="Sheet8"/>
  <dimension ref="B1:F154"/>
  <sheetViews>
    <sheetView showGridLines="0" zoomScaleNormal="100" workbookViewId="0">
      <selection activeCell="E6" sqref="E6"/>
    </sheetView>
  </sheetViews>
  <sheetFormatPr defaultRowHeight="12.6"/>
  <cols>
    <col min="2" max="2" width="19.375" customWidth="1"/>
    <col min="3" max="3" width="75.5" customWidth="1"/>
  </cols>
  <sheetData>
    <row r="1" spans="2:6" s="521" customFormat="1" ht="15.95"/>
    <row r="2" spans="2:6" s="521" customFormat="1" ht="23.45">
      <c r="B2" s="575" t="s">
        <v>0</v>
      </c>
      <c r="C2" s="575"/>
      <c r="D2" s="520"/>
      <c r="E2" s="520"/>
      <c r="F2" s="520"/>
    </row>
    <row r="3" spans="2:6" s="521" customFormat="1" ht="15.95"/>
    <row r="4" spans="2:6" ht="12.95" thickBot="1"/>
    <row r="5" spans="2:6" ht="23.45">
      <c r="B5" s="576" t="s">
        <v>56</v>
      </c>
      <c r="C5" s="577"/>
    </row>
    <row r="6" spans="2:6" ht="20.45">
      <c r="B6" s="529" t="s">
        <v>3</v>
      </c>
      <c r="C6" s="530"/>
    </row>
    <row r="7" spans="2:6" ht="15.95">
      <c r="B7" s="525"/>
      <c r="C7" s="531" t="s">
        <v>2</v>
      </c>
    </row>
    <row r="8" spans="2:6" ht="15.95">
      <c r="B8" s="525"/>
      <c r="C8" s="531" t="s">
        <v>57</v>
      </c>
    </row>
    <row r="9" spans="2:6" ht="15.95">
      <c r="B9" s="525"/>
      <c r="C9" s="531" t="s">
        <v>32</v>
      </c>
    </row>
    <row r="10" spans="2:6" ht="15.95">
      <c r="B10" s="525"/>
      <c r="C10" s="531" t="s">
        <v>58</v>
      </c>
    </row>
    <row r="11" spans="2:6" ht="15.95">
      <c r="B11" s="525"/>
      <c r="C11" s="531" t="s">
        <v>41</v>
      </c>
    </row>
    <row r="12" spans="2:6" ht="15.95">
      <c r="B12" s="525"/>
      <c r="C12" s="531" t="s">
        <v>55</v>
      </c>
    </row>
    <row r="13" spans="2:6" ht="15.95">
      <c r="B13" s="527"/>
      <c r="C13" s="528"/>
    </row>
    <row r="14" spans="2:6" ht="20.45">
      <c r="B14" s="529" t="s">
        <v>4</v>
      </c>
      <c r="C14" s="530"/>
    </row>
    <row r="15" spans="2:6" ht="15.95">
      <c r="B15" s="525"/>
      <c r="C15" s="531" t="s">
        <v>2</v>
      </c>
    </row>
    <row r="16" spans="2:6" ht="15.95">
      <c r="B16" s="525"/>
      <c r="C16" s="531" t="s">
        <v>17</v>
      </c>
    </row>
    <row r="17" spans="2:3" ht="15.95">
      <c r="B17" s="525"/>
      <c r="C17" s="531" t="s">
        <v>32</v>
      </c>
    </row>
    <row r="18" spans="2:3" ht="15.95">
      <c r="B18" s="525"/>
      <c r="C18" s="531" t="s">
        <v>58</v>
      </c>
    </row>
    <row r="19" spans="2:3" ht="15.95">
      <c r="B19" s="525"/>
      <c r="C19" s="531" t="s">
        <v>41</v>
      </c>
    </row>
    <row r="20" spans="2:3" ht="15.95">
      <c r="B20" s="525"/>
      <c r="C20" s="531" t="s">
        <v>55</v>
      </c>
    </row>
    <row r="21" spans="2:3" ht="15.95">
      <c r="B21" s="527"/>
      <c r="C21" s="528"/>
    </row>
    <row r="22" spans="2:3" ht="20.45">
      <c r="B22" s="529" t="s">
        <v>5</v>
      </c>
      <c r="C22" s="530"/>
    </row>
    <row r="23" spans="2:3" ht="20.45">
      <c r="B23" s="522"/>
      <c r="C23" s="531" t="s">
        <v>2</v>
      </c>
    </row>
    <row r="24" spans="2:3" ht="15.95">
      <c r="B24" s="525"/>
      <c r="C24" s="531" t="s">
        <v>17</v>
      </c>
    </row>
    <row r="25" spans="2:3" ht="15.95">
      <c r="B25" s="525"/>
      <c r="C25" s="531" t="s">
        <v>32</v>
      </c>
    </row>
    <row r="26" spans="2:3" ht="15.95">
      <c r="B26" s="525"/>
      <c r="C26" s="531" t="s">
        <v>58</v>
      </c>
    </row>
    <row r="27" spans="2:3" ht="15.95">
      <c r="B27" s="525"/>
      <c r="C27" s="531" t="s">
        <v>41</v>
      </c>
    </row>
    <row r="28" spans="2:3" ht="15.95">
      <c r="B28" s="525"/>
      <c r="C28" s="531" t="s">
        <v>55</v>
      </c>
    </row>
    <row r="29" spans="2:3" ht="15.95">
      <c r="B29" s="527"/>
      <c r="C29" s="534"/>
    </row>
    <row r="30" spans="2:3" ht="20.45">
      <c r="B30" s="529" t="s">
        <v>10</v>
      </c>
      <c r="C30" s="530"/>
    </row>
    <row r="31" spans="2:3" ht="15.95">
      <c r="B31" s="525"/>
      <c r="C31" s="531" t="s">
        <v>9</v>
      </c>
    </row>
    <row r="32" spans="2:3" ht="15.95">
      <c r="B32" s="525"/>
      <c r="C32" s="531" t="s">
        <v>32</v>
      </c>
    </row>
    <row r="33" spans="2:3" ht="15.95">
      <c r="B33" s="525"/>
      <c r="C33" s="531" t="s">
        <v>42</v>
      </c>
    </row>
    <row r="34" spans="2:3" ht="15.95">
      <c r="B34" s="527"/>
      <c r="C34" s="528"/>
    </row>
    <row r="35" spans="2:3" ht="20.45">
      <c r="B35" s="529" t="s">
        <v>6</v>
      </c>
      <c r="C35" s="530"/>
    </row>
    <row r="36" spans="2:3" ht="15.95">
      <c r="B36" s="525"/>
      <c r="C36" s="531" t="s">
        <v>2</v>
      </c>
    </row>
    <row r="37" spans="2:3" ht="15.95">
      <c r="B37" s="525"/>
      <c r="C37" s="531" t="s">
        <v>57</v>
      </c>
    </row>
    <row r="38" spans="2:3" ht="15.95">
      <c r="B38" s="525"/>
      <c r="C38" s="531" t="s">
        <v>32</v>
      </c>
    </row>
    <row r="39" spans="2:3" ht="15.95">
      <c r="B39" s="525"/>
      <c r="C39" s="531" t="s">
        <v>58</v>
      </c>
    </row>
    <row r="40" spans="2:3" ht="15.95">
      <c r="B40" s="525"/>
      <c r="C40" s="531" t="s">
        <v>41</v>
      </c>
    </row>
    <row r="41" spans="2:3" ht="15.95">
      <c r="B41" s="525"/>
      <c r="C41" s="531" t="s">
        <v>55</v>
      </c>
    </row>
    <row r="42" spans="2:3" ht="15.95">
      <c r="B42" s="527"/>
      <c r="C42" s="528"/>
    </row>
    <row r="43" spans="2:3" ht="20.45">
      <c r="B43" s="529" t="s">
        <v>49</v>
      </c>
      <c r="C43" s="530"/>
    </row>
    <row r="44" spans="2:3" ht="15.95">
      <c r="B44" s="525"/>
      <c r="C44" s="531" t="s">
        <v>48</v>
      </c>
    </row>
    <row r="45" spans="2:3" ht="15.95">
      <c r="B45" s="527"/>
      <c r="C45" s="528"/>
    </row>
    <row r="46" spans="2:3" ht="20.45">
      <c r="B46" s="529" t="s">
        <v>43</v>
      </c>
      <c r="C46" s="530"/>
    </row>
    <row r="47" spans="2:3" ht="15.95">
      <c r="B47" s="525"/>
      <c r="C47" s="531" t="s">
        <v>9</v>
      </c>
    </row>
    <row r="48" spans="2:3" ht="15.95">
      <c r="B48" s="525"/>
      <c r="C48" s="531" t="s">
        <v>57</v>
      </c>
    </row>
    <row r="49" spans="2:3" ht="15.95">
      <c r="B49" s="525"/>
      <c r="C49" s="531" t="s">
        <v>32</v>
      </c>
    </row>
    <row r="50" spans="2:3" ht="15.95">
      <c r="B50" s="525"/>
      <c r="C50" s="531" t="s">
        <v>42</v>
      </c>
    </row>
    <row r="51" spans="2:3" ht="15.95">
      <c r="B51" s="527"/>
      <c r="C51" s="528"/>
    </row>
    <row r="52" spans="2:3" ht="20.45">
      <c r="B52" s="578" t="s">
        <v>37</v>
      </c>
      <c r="C52" s="579"/>
    </row>
    <row r="53" spans="2:3" ht="15.95">
      <c r="B53" s="525"/>
      <c r="C53" s="531" t="s">
        <v>58</v>
      </c>
    </row>
    <row r="54" spans="2:3" ht="15.95">
      <c r="B54" s="527"/>
      <c r="C54" s="528"/>
    </row>
    <row r="55" spans="2:3" ht="20.45">
      <c r="B55" s="529" t="s">
        <v>44</v>
      </c>
      <c r="C55" s="530"/>
    </row>
    <row r="56" spans="2:3" ht="15.95">
      <c r="B56" s="525"/>
      <c r="C56" s="531" t="s">
        <v>42</v>
      </c>
    </row>
    <row r="57" spans="2:3" ht="15.95">
      <c r="B57" s="527"/>
      <c r="C57" s="528"/>
    </row>
    <row r="58" spans="2:3" ht="20.45">
      <c r="B58" s="529" t="s">
        <v>12</v>
      </c>
      <c r="C58" s="530"/>
    </row>
    <row r="59" spans="2:3" ht="15.95">
      <c r="B59" s="525"/>
      <c r="C59" s="531" t="s">
        <v>9</v>
      </c>
    </row>
    <row r="60" spans="2:3" ht="15.95">
      <c r="B60" s="525"/>
      <c r="C60" s="531" t="s">
        <v>12</v>
      </c>
    </row>
    <row r="61" spans="2:3" ht="15.95">
      <c r="B61" s="525"/>
      <c r="C61" s="531" t="s">
        <v>32</v>
      </c>
    </row>
    <row r="62" spans="2:3" ht="15.95">
      <c r="B62" s="527"/>
      <c r="C62" s="528"/>
    </row>
    <row r="63" spans="2:3" ht="20.45">
      <c r="B63" s="529" t="s">
        <v>45</v>
      </c>
      <c r="C63" s="530"/>
    </row>
    <row r="64" spans="2:3" ht="15.95">
      <c r="B64" s="525"/>
      <c r="C64" s="531" t="s">
        <v>9</v>
      </c>
    </row>
    <row r="65" spans="2:3" ht="15.95">
      <c r="B65" s="525"/>
      <c r="C65" s="531" t="s">
        <v>57</v>
      </c>
    </row>
    <row r="66" spans="2:3" ht="15.95">
      <c r="B66" s="525"/>
      <c r="C66" s="531" t="s">
        <v>32</v>
      </c>
    </row>
    <row r="67" spans="2:3" ht="15.95">
      <c r="B67" s="525"/>
      <c r="C67" s="531" t="s">
        <v>42</v>
      </c>
    </row>
    <row r="68" spans="2:3" ht="15.95">
      <c r="B68" s="527"/>
      <c r="C68" s="528"/>
    </row>
    <row r="69" spans="2:3" ht="20.45">
      <c r="B69" s="529" t="s">
        <v>24</v>
      </c>
      <c r="C69" s="530"/>
    </row>
    <row r="70" spans="2:3" ht="15.95">
      <c r="B70" s="525"/>
      <c r="C70" s="531" t="s">
        <v>23</v>
      </c>
    </row>
    <row r="71" spans="2:3" ht="15.95">
      <c r="B71" s="527"/>
      <c r="C71" s="528"/>
    </row>
    <row r="72" spans="2:3" ht="20.45">
      <c r="B72" s="529" t="s">
        <v>14</v>
      </c>
      <c r="C72" s="530"/>
    </row>
    <row r="73" spans="2:3" ht="15.95">
      <c r="B73" s="525"/>
      <c r="C73" s="531" t="s">
        <v>9</v>
      </c>
    </row>
    <row r="74" spans="2:3" ht="15.95">
      <c r="B74" s="525"/>
      <c r="C74" s="531" t="s">
        <v>57</v>
      </c>
    </row>
    <row r="75" spans="2:3" ht="15.95">
      <c r="B75" s="525"/>
      <c r="C75" s="531" t="s">
        <v>58</v>
      </c>
    </row>
    <row r="76" spans="2:3" ht="15.95">
      <c r="B76" s="527"/>
      <c r="C76" s="528"/>
    </row>
    <row r="77" spans="2:3" ht="20.45">
      <c r="B77" s="529" t="s">
        <v>18</v>
      </c>
      <c r="C77" s="530"/>
    </row>
    <row r="78" spans="2:3" ht="15.95">
      <c r="B78" s="525"/>
      <c r="C78" s="531" t="s">
        <v>59</v>
      </c>
    </row>
    <row r="79" spans="2:3" ht="15.95">
      <c r="B79" s="525"/>
      <c r="C79" s="531" t="s">
        <v>23</v>
      </c>
    </row>
    <row r="80" spans="2:3" ht="15.95">
      <c r="B80" s="525"/>
      <c r="C80" s="531" t="s">
        <v>32</v>
      </c>
    </row>
    <row r="81" spans="2:3" ht="15.95">
      <c r="B81" s="525"/>
      <c r="C81" s="531" t="s">
        <v>58</v>
      </c>
    </row>
    <row r="82" spans="2:3" ht="15.95">
      <c r="B82" s="525"/>
      <c r="C82" s="531" t="s">
        <v>51</v>
      </c>
    </row>
    <row r="83" spans="2:3" ht="15.95">
      <c r="B83" s="527"/>
      <c r="C83" s="534"/>
    </row>
    <row r="84" spans="2:3" ht="20.45">
      <c r="B84" s="529" t="s">
        <v>34</v>
      </c>
      <c r="C84" s="530"/>
    </row>
    <row r="85" spans="2:3" ht="15.95">
      <c r="B85" s="525"/>
      <c r="C85" s="531" t="s">
        <v>59</v>
      </c>
    </row>
    <row r="86" spans="2:3" ht="15.95">
      <c r="B86" s="525"/>
      <c r="C86" s="531" t="s">
        <v>32</v>
      </c>
    </row>
    <row r="87" spans="2:3" ht="15.95">
      <c r="B87" s="525"/>
      <c r="C87" s="531" t="s">
        <v>58</v>
      </c>
    </row>
    <row r="88" spans="2:3" ht="15.95">
      <c r="B88" s="527"/>
      <c r="C88" s="534"/>
    </row>
    <row r="89" spans="2:3" ht="20.45">
      <c r="B89" s="529" t="s">
        <v>19</v>
      </c>
      <c r="C89" s="530"/>
    </row>
    <row r="90" spans="2:3" ht="15.95">
      <c r="B90" s="525"/>
      <c r="C90" s="531" t="s">
        <v>59</v>
      </c>
    </row>
    <row r="91" spans="2:3" ht="15.95">
      <c r="B91" s="525"/>
      <c r="C91" s="531" t="s">
        <v>23</v>
      </c>
    </row>
    <row r="92" spans="2:3" ht="15.95">
      <c r="B92" s="525"/>
      <c r="C92" s="531" t="s">
        <v>32</v>
      </c>
    </row>
    <row r="93" spans="2:3" ht="15.95">
      <c r="B93" s="525"/>
      <c r="C93" s="531" t="s">
        <v>58</v>
      </c>
    </row>
    <row r="94" spans="2:3" ht="15.95">
      <c r="B94" s="525"/>
      <c r="C94" s="531" t="s">
        <v>51</v>
      </c>
    </row>
    <row r="95" spans="2:3" ht="15.95">
      <c r="B95" s="527"/>
      <c r="C95" s="534"/>
    </row>
    <row r="96" spans="2:3" ht="20.45">
      <c r="B96" s="529" t="s">
        <v>25</v>
      </c>
      <c r="C96" s="530"/>
    </row>
    <row r="97" spans="2:3" ht="15.95">
      <c r="B97" s="525"/>
      <c r="C97" s="531" t="s">
        <v>23</v>
      </c>
    </row>
    <row r="98" spans="2:3" ht="15.95">
      <c r="B98" s="527"/>
      <c r="C98" s="528"/>
    </row>
    <row r="99" spans="2:3" ht="20.45">
      <c r="B99" s="529" t="s">
        <v>20</v>
      </c>
      <c r="C99" s="530"/>
    </row>
    <row r="100" spans="2:3" ht="15.95">
      <c r="B100" s="525"/>
      <c r="C100" s="531" t="s">
        <v>59</v>
      </c>
    </row>
    <row r="101" spans="2:3" ht="15.95">
      <c r="B101" s="525"/>
      <c r="C101" s="531" t="s">
        <v>23</v>
      </c>
    </row>
    <row r="102" spans="2:3" ht="15.95">
      <c r="B102" s="525"/>
      <c r="C102" s="531" t="s">
        <v>32</v>
      </c>
    </row>
    <row r="103" spans="2:3" ht="15.95">
      <c r="B103" s="525"/>
      <c r="C103" s="531" t="s">
        <v>58</v>
      </c>
    </row>
    <row r="104" spans="2:3" ht="15.95">
      <c r="B104" s="525"/>
      <c r="C104" s="531" t="s">
        <v>51</v>
      </c>
    </row>
    <row r="105" spans="2:3" ht="15.95">
      <c r="B105" s="527"/>
      <c r="C105" s="528"/>
    </row>
    <row r="106" spans="2:3" ht="20.45">
      <c r="B106" s="529" t="s">
        <v>60</v>
      </c>
      <c r="C106" s="530"/>
    </row>
    <row r="107" spans="2:3" ht="15.95">
      <c r="B107" s="525"/>
      <c r="C107" s="531" t="s">
        <v>23</v>
      </c>
    </row>
    <row r="108" spans="2:3" ht="15.95">
      <c r="B108" s="527"/>
      <c r="C108" s="528"/>
    </row>
    <row r="109" spans="2:3" ht="20.45">
      <c r="B109" s="529" t="s">
        <v>38</v>
      </c>
      <c r="C109" s="530"/>
    </row>
    <row r="110" spans="2:3" ht="15.95">
      <c r="B110" s="525"/>
      <c r="C110" s="531" t="s">
        <v>58</v>
      </c>
    </row>
    <row r="111" spans="2:3" ht="15.95">
      <c r="B111" s="525"/>
      <c r="C111" s="531" t="s">
        <v>23</v>
      </c>
    </row>
    <row r="112" spans="2:3" ht="15.95">
      <c r="B112" s="527"/>
      <c r="C112" s="528"/>
    </row>
    <row r="113" spans="2:3" ht="20.45">
      <c r="B113" s="529" t="s">
        <v>26</v>
      </c>
      <c r="C113" s="530"/>
    </row>
    <row r="114" spans="2:3" ht="15.95">
      <c r="B114" s="525"/>
      <c r="C114" s="531" t="s">
        <v>23</v>
      </c>
    </row>
    <row r="115" spans="2:3" ht="15.95">
      <c r="B115" s="527"/>
      <c r="C115" s="528"/>
    </row>
    <row r="116" spans="2:3" ht="20.45">
      <c r="B116" s="529" t="s">
        <v>27</v>
      </c>
      <c r="C116" s="530"/>
    </row>
    <row r="117" spans="2:3" ht="15.95">
      <c r="B117" s="525"/>
      <c r="C117" s="531" t="s">
        <v>23</v>
      </c>
    </row>
    <row r="118" spans="2:3" ht="15.95">
      <c r="B118" s="527"/>
      <c r="C118" s="528"/>
    </row>
    <row r="119" spans="2:3" ht="20.45">
      <c r="B119" s="529" t="s">
        <v>28</v>
      </c>
      <c r="C119" s="530"/>
    </row>
    <row r="120" spans="2:3" ht="15.95">
      <c r="B120" s="525"/>
      <c r="C120" s="531" t="s">
        <v>23</v>
      </c>
    </row>
    <row r="121" spans="2:3" ht="15.95">
      <c r="B121" s="525"/>
      <c r="C121" s="531" t="s">
        <v>58</v>
      </c>
    </row>
    <row r="122" spans="2:3" ht="15.95">
      <c r="B122" s="527"/>
      <c r="C122" s="528"/>
    </row>
    <row r="123" spans="2:3" ht="20.45">
      <c r="B123" s="529" t="s">
        <v>39</v>
      </c>
      <c r="C123" s="530"/>
    </row>
    <row r="124" spans="2:3" ht="15.95">
      <c r="B124" s="525"/>
      <c r="C124" s="531" t="s">
        <v>58</v>
      </c>
    </row>
    <row r="125" spans="2:3" ht="15.95">
      <c r="B125" s="527"/>
      <c r="C125" s="533"/>
    </row>
    <row r="126" spans="2:3" ht="20.45">
      <c r="B126" s="529" t="s">
        <v>40</v>
      </c>
      <c r="C126" s="530"/>
    </row>
    <row r="127" spans="2:3" ht="15.95">
      <c r="B127" s="525"/>
      <c r="C127" s="531" t="s">
        <v>58</v>
      </c>
    </row>
    <row r="128" spans="2:3" ht="15.95">
      <c r="B128" s="527"/>
      <c r="C128" s="533"/>
    </row>
    <row r="129" spans="2:3" ht="20.45">
      <c r="B129" s="529" t="s">
        <v>16</v>
      </c>
      <c r="C129" s="530"/>
    </row>
    <row r="130" spans="2:3" ht="15.95">
      <c r="B130" s="525"/>
      <c r="C130" s="531" t="s">
        <v>42</v>
      </c>
    </row>
    <row r="131" spans="2:3" ht="15.95">
      <c r="B131" s="525"/>
      <c r="C131" s="531" t="s">
        <v>9</v>
      </c>
    </row>
    <row r="132" spans="2:3" ht="15.95">
      <c r="B132" s="525"/>
      <c r="C132" s="531" t="s">
        <v>32</v>
      </c>
    </row>
    <row r="133" spans="2:3" ht="15.95">
      <c r="B133" s="527"/>
      <c r="C133" s="528"/>
    </row>
    <row r="134" spans="2:3" ht="20.45">
      <c r="B134" s="529" t="s">
        <v>22</v>
      </c>
      <c r="C134" s="530"/>
    </row>
    <row r="135" spans="2:3" ht="15.95">
      <c r="B135" s="525"/>
      <c r="C135" s="531" t="s">
        <v>9</v>
      </c>
    </row>
    <row r="136" spans="2:3" ht="15.95">
      <c r="B136" s="525"/>
      <c r="C136" s="531" t="s">
        <v>58</v>
      </c>
    </row>
    <row r="137" spans="2:3" ht="15.95">
      <c r="B137" s="525"/>
      <c r="C137" s="531" t="s">
        <v>59</v>
      </c>
    </row>
    <row r="138" spans="2:3" ht="15.95">
      <c r="B138" s="527"/>
      <c r="C138" s="528"/>
    </row>
    <row r="139" spans="2:3" ht="20.45">
      <c r="B139" s="529" t="s">
        <v>47</v>
      </c>
      <c r="C139" s="530"/>
    </row>
    <row r="140" spans="2:3" ht="15.95">
      <c r="B140" s="525"/>
      <c r="C140" s="531" t="s">
        <v>42</v>
      </c>
    </row>
    <row r="141" spans="2:3" ht="15.95">
      <c r="B141" s="527"/>
      <c r="C141" s="528"/>
    </row>
    <row r="142" spans="2:3" ht="20.45">
      <c r="B142" s="529" t="s">
        <v>50</v>
      </c>
      <c r="C142" s="530"/>
    </row>
    <row r="143" spans="2:3" ht="15.95">
      <c r="B143" s="525"/>
      <c r="C143" s="531" t="s">
        <v>48</v>
      </c>
    </row>
    <row r="144" spans="2:3" ht="15.95">
      <c r="B144" s="527"/>
      <c r="C144" s="528"/>
    </row>
    <row r="145" spans="2:3" ht="20.45">
      <c r="B145" s="529" t="s">
        <v>29</v>
      </c>
      <c r="C145" s="530"/>
    </row>
    <row r="146" spans="2:3" ht="15.95">
      <c r="B146" s="525"/>
      <c r="C146" s="531" t="s">
        <v>23</v>
      </c>
    </row>
    <row r="147" spans="2:3" ht="15.95">
      <c r="B147" s="527"/>
      <c r="C147" s="528"/>
    </row>
    <row r="148" spans="2:3" ht="20.45">
      <c r="B148" s="529" t="s">
        <v>7</v>
      </c>
      <c r="C148" s="530"/>
    </row>
    <row r="149" spans="2:3" ht="15.95">
      <c r="B149" s="525"/>
      <c r="C149" s="531" t="s">
        <v>2</v>
      </c>
    </row>
    <row r="150" spans="2:3" ht="15.95">
      <c r="B150" s="525"/>
      <c r="C150" s="531" t="s">
        <v>17</v>
      </c>
    </row>
    <row r="151" spans="2:3" ht="15.95">
      <c r="B151" s="525"/>
      <c r="C151" s="531" t="s">
        <v>23</v>
      </c>
    </row>
    <row r="152" spans="2:3" ht="15.95">
      <c r="B152" s="525"/>
      <c r="C152" s="531" t="s">
        <v>32</v>
      </c>
    </row>
    <row r="153" spans="2:3" ht="15.95">
      <c r="B153" s="525"/>
      <c r="C153" s="531" t="s">
        <v>58</v>
      </c>
    </row>
    <row r="154" spans="2:3" ht="15.95">
      <c r="B154" s="527"/>
      <c r="C154" s="533" t="s">
        <v>41</v>
      </c>
    </row>
  </sheetData>
  <mergeCells count="3">
    <mergeCell ref="B5:C5"/>
    <mergeCell ref="B52:C52"/>
    <mergeCell ref="B2:C2"/>
  </mergeCells>
  <hyperlinks>
    <hyperlink ref="C23" location="'2026_BannerMD_BMT_AUT_ADULT'!A1" display="Banner Health dba Banner Gateway Medical Center" xr:uid="{C0AC0E21-043C-4275-AA80-50739346B360}"/>
    <hyperlink ref="C7" location="'2026_BannerMD_BMT_ALLO_RELA'!A1" display="Banner Health dba Banner Gateway Medical Center" xr:uid="{1744DE53-A86C-48A9-A5F4-872AB27CFC4F}"/>
    <hyperlink ref="C36" location="'2026_BannerMD_BMT_HAPLOID'!A1" display="Banner Health dba Banner Gateway Medical Center" xr:uid="{6A6989B7-7B53-41A4-AA13-EE1B7D26949E}"/>
    <hyperlink ref="C15" location="'2026_BannerMD_BMT_ALLO_UNREL'!A1" display="Banner Health dba Banner Gateway Medical Center" xr:uid="{883B07D7-E7CB-46AD-A057-DD22017ECC23}"/>
    <hyperlink ref="C149" location="'2026_BannerMD_TBI'!A1" display="Banner Health dba Banner Gateway Medical Center" xr:uid="{5CBA521C-577D-4E9B-9FAD-6510F1071B4D}"/>
    <hyperlink ref="C59" location="'2026_BUMCP_HEART'!A1" display="Banner University Medical Center Phoenix" xr:uid="{899929D6-34F1-49B9-BDF3-76AF05EFBD81}"/>
    <hyperlink ref="C47" location="'2026_BUMCP_KIDNEY_CADAVERIC'!A1" display="Cadaveric Donor Kidney Transplant Contract (CKY)" xr:uid="{46CBC152-045D-4060-B621-9D113AD49CAD}"/>
    <hyperlink ref="C73" location="'2026_BUMCP_PANCREA_AFTER_KDY'!A1" display="Banner University Medical Center Phoenix" xr:uid="{39B777ED-FC08-4139-B1CE-06562ED0EE45}"/>
    <hyperlink ref="C31" location="'2026_BUMCP_CAD_LIVER'!A1" display="Adult Cadaveric LIVer Transplant Contract (LIV)" xr:uid="{7F525C57-A8FE-48AA-ACE4-A825D2F66F03}"/>
    <hyperlink ref="C131" location="'2026_BUMCP_SIMUL_CAD_LIV_KDY'!A1" display="Banner University Medical Center Phoenix" xr:uid="{41EFAFBF-96FE-4F08-A638-D671F6D1F1D3}"/>
    <hyperlink ref="C100" location="'2026_BUMCT_AUT_PEDS'!A1" display="Banner University Medical Center Tucson Campus, Llc" xr:uid="{A2941182-E6A9-4CF0-9BC8-2A5B80E1632C}"/>
    <hyperlink ref="C78" location="'2026_BUMCT_ALLO_RELA_PEDS'!A1" display="Banner University Medical Center Tucson Campus, Llc" xr:uid="{EF5ABF74-1170-425E-94C9-FFA0620CA53D}"/>
    <hyperlink ref="C90" location="'2026_BUMCT_ALLO_UNRE_PEDS'!A1" display="Banner University Medical Center Tucson Campus, Llc" xr:uid="{48B5AD2F-8549-4A2D-BAEF-52B2E651252A}"/>
    <hyperlink ref="C24" location="'2026_BUMCT_BMT_AUTO_ADULT'!A1" display="Adult Autologous Bone Marrow Transplant Contract (AUT)" xr:uid="{2A2BA31D-2DA2-4006-A391-E194299EC12D}"/>
    <hyperlink ref="C8" location="'2026_BUMCT_BMT_ALLO_REL_ADULT'!A1" display="Adult Allogeneic Related Bone Marrow Transplant Contract (ALO)" xr:uid="{A0EF49E3-83ED-44F7-9077-C8E9BDB6CAD6}"/>
    <hyperlink ref="C37" location="'2026_BUMCT_BMT_HAPLOID_ADULT'!A1" display="Adult HAPloid Hematopoietic Stem Cell Transplant Contract (HAP)" xr:uid="{8C48D6E2-D95C-4598-AB5A-8EF3C0ACC0F2}"/>
    <hyperlink ref="C16" location="'2026_BUMCT_BMT_ALLO_UNREL_ADULT'!A1" display="Adult Allogeneic Unrelated Bone Marrow Transplant Contract (ALU)" xr:uid="{F96CF73B-12B9-4802-96F3-FE830FAAF3A5}"/>
    <hyperlink ref="C150" location="'2026_BUMCT_TBI'!A1" display="Total Body Irradiation (TBI)" xr:uid="{735D7AF4-3F64-4E1A-8B09-F92B0145D75D}"/>
    <hyperlink ref="C64" location="'2026_BUMCP_KIDNEY_LIVING'!A1" display="Living Donor Kidney Transplant Contract (KDY)" xr:uid="{FC3A4014-4AFF-486E-BA7D-1ABD75A35BD6}"/>
    <hyperlink ref="C65" location="'2026_BUMCT_KIDNEY_LIVING'!A1" display="Living Donor Kidney Transplant Contract (KDY)" xr:uid="{614B4EBE-6FF7-4CB2-834B-0A3F45AD0F56}"/>
    <hyperlink ref="C48" location="'2026_BUMCT_KIDNEY_CADAVERIC'!A1" display="Cadaveric Donor Kidney Transplant Contract (CKY)" xr:uid="{60A0CBAF-5DEE-451A-82C6-EFB707F65017}"/>
    <hyperlink ref="C74" location="'2026_BUMCT_PANCREAS_AFTER_KDY'!A1" display="Pancreas After Kidney Transplant Contract (PAK)" xr:uid="{CB650946-5FE2-4F59-9010-D30EEF4E390F}"/>
    <hyperlink ref="C137" location="'2026_BUMCT_SIM_PANCREA_KDY'!A1" display="Simultaneous Kidney-Pancreas Transplant Contract (SPK)" xr:uid="{DEE45114-84F4-41DB-9233-BFA77C02CA1F}"/>
    <hyperlink ref="C28" location="'2026_CITYHOPE_BMT_AUT_ADULT'!A1" display="Adult Autologous Bone Marrow Transplant Contract (AUT)" xr:uid="{EA51F13C-3E21-450D-A613-3F0294B9817A}"/>
    <hyperlink ref="C20" location="'2026_CITYHOPE_BMT_ALLO_UNREL_AD'!A1" display="Adult Allogeneic Unrelated Bone Marrow Transplant Contract (ALU)" xr:uid="{90CB0FDD-E1DF-4BA7-8C53-D2DF5984F94F}"/>
    <hyperlink ref="C12" location="'2026_CITYHOPE_BMT_ALLO_REL_ADUL'!A1" display="Adult Allogeneic Related Bone Marrow Transplant Contract (ALO)" xr:uid="{15B9313D-274C-41F5-8784-A34506CE2DC5}"/>
    <hyperlink ref="C41" location="'2026_CITYHOPE_BMT_HAPLOID_ADULT'!A1" display="Adult HAPloid Hematopoietic Stem Cell Transplant Contract (HAP)" xr:uid="{9C56BA2A-1DFE-471B-BED3-CC2A3A90BA95}"/>
    <hyperlink ref="C101" location="'2026_LPCH_BMT_AUT_PEDS'!A1" display="Pediatric Autologous Bone Marrow Transplant Contract (PAU)" xr:uid="{EC43F440-E025-4B12-B606-A55D4C72B520}"/>
    <hyperlink ref="C79" location="'2026_LPCH_ALLO_RELA_PEDS'!A1" display="Pediatric Allogeneic Related Bone Marrow Transplant Contract (PAL)" xr:uid="{EF05083A-ED1A-4922-9222-99AA1912A154}"/>
    <hyperlink ref="C91" location="'2026_LPCH_ALLO_UNREL_PEDS'!A1" display="Pediatric Allogeneic Unrelated Bone Marrow Transplant Contract (PLU)" xr:uid="{5EAFC69F-6596-421F-A4CF-0C9BB1CEE020}"/>
    <hyperlink ref="C151" location="'2026_LPCH_TBI_PED'!A1" display="Total Body Irradiation (TBI)" xr:uid="{29CD0C4B-A0F8-48A0-BBF0-3C20DE92C8BC}"/>
    <hyperlink ref="C107" location="'2026_LPCH_Living_Liver'!A1" display="Pediatric LIVer Transplant (PLL)" xr:uid="{3F3783E0-C380-4A46-AA27-2E15C3EC34BE}"/>
    <hyperlink ref="C111" location="'2026_LPCH_CAD_Liver'!A1" display="Pediatric LIVer Transplant (PLV)" xr:uid="{A4BD02D5-F4F9-4410-89F5-EEAE743A22AD}"/>
    <hyperlink ref="C114" location="'2026_LPCH_SingleDouble_Lung'!A1" display="Pediatric Double Lung (PDL) Transplant Contract (Includes Single Lung) (PLS)" xr:uid="{2055C252-B9CF-4C88-ADC2-AF8D3896FBCA}"/>
    <hyperlink ref="C120" location="'2026_LPCH_Heart'!A1" display="Pediatric Heart Transplant (PHT)" xr:uid="{3D3E9807-06B3-4B03-9FAB-4D50DC5526C9}"/>
    <hyperlink ref="C117" location="'2026_LPCH_Heart_Lung'!A1" display="Pediatric Heart And Lung Transplant Contract (Phl)" xr:uid="{72B0B197-234B-4889-AC34-2610862A6C9C}"/>
    <hyperlink ref="C97" location="'2026_LPCH_Heart_Liver'!A1" display="Pediatric And Young Adult Heart And LIVer Transplant Contract (Plh)" xr:uid="{C7572573-BF9E-436A-942D-164EFEA616A9}"/>
    <hyperlink ref="C70" location="'2026_LPCH_Multivis_CadDonor'!A1" display="Multi-Visceral Cadaveric Donor (Intestine, LIVer, Pancreas En Bloc)" xr:uid="{78F17798-D09B-4ED7-84F8-297398AB336F}"/>
    <hyperlink ref="C146" location="'2026_LPCH_IntestineCadDonor'!A1" display="Single Organ, And/Or Intestine Cadaveric Donor" xr:uid="{6C6F5F9D-8360-416F-A9F2-DE728E6AE418}"/>
    <hyperlink ref="C25" location="'2026_MAYO_BMT_AUT_ADULT'!A1" display="Adult Autologous Bone Marrow Transplant Contract (AUT)" xr:uid="{234F54C4-ACB0-4ABC-A3E2-86435F6DFB8F}"/>
    <hyperlink ref="C9" location="'2026_MAYO_BMT_ALLO_REL_ADULT'!A1" display="Adult Allogeneic Related Bone Marrow Transplant Contract (ALO)" xr:uid="{612788FD-0767-408E-B5FE-0062259C1F66}"/>
    <hyperlink ref="C38" location="'2026_MAYO_HAPLOID_BMT_ADULT'!A1" display=" Adult Haploid Hematopoietic Stem Cell Transplant Contract (HAP)" xr:uid="{37B6A7A9-9A1F-4A62-A924-4C86926F6CFF}"/>
    <hyperlink ref="C17" location="'2026_MAYO_BMT_ALLO_UNR_ADUL'!A1" display="Adult  Allogenic Unrelated Bone Marrow Transplant Contract (ALU)" xr:uid="{CA34B72E-20E2-4401-9E45-664D2987DB68}"/>
    <hyperlink ref="C102" location="'2026_MAYO_BMT_AUT_PED'!A1" display=" Pediatric Autologous Bone Marrow Transplant Contract (PAU)" xr:uid="{E55E1BC1-01AE-4480-AD0E-7D84C5C984F7}"/>
    <hyperlink ref="C80" location="'2026_MAYO_BMT_ALLO_REL_PED'!A1" display=" Pediatric Allogeneic Related Bone Marrow Transplant Contract (PAL)" xr:uid="{A0162C20-4D17-401C-A243-6DB961E91593}"/>
    <hyperlink ref="C86" location="'2026_MAYO_HAPLOID_BMT_PED'!A1" display="Pediatric  Haploid Related Hematopoietic Stem Cell Transplant Contract (PHA)" xr:uid="{E0A5F991-A495-487F-81ED-B92AE995D97B}"/>
    <hyperlink ref="C92" location="'2026_MAYO_BMT_ALLO_UNR_PED'!A1" display="Pediatric  Allogeneic Unrelated Bone Marrow Transplant Contract (PLU)" xr:uid="{70264DCE-100D-4130-88D2-DF61A1D20727}"/>
    <hyperlink ref="C152" location="'2026_MAYO_TBI_ADULT_AND_PED'!A1" display="Total Body Irradiation (TBI)" xr:uid="{DF0FA14B-203F-491F-A966-BCBC94F629EB}"/>
    <hyperlink ref="C61" location="'2026_MAYO_PHX_HEART'!A1" display="Heart Transplant Contract (HRT)" xr:uid="{6EB79349-C0C6-4D1E-BDBE-D3E7A62857BE}"/>
    <hyperlink ref="C66" location="'2026_MAYO_KIDNEY_LIVING'!A1" display="Living Donor Kidney Transplant Contract (KDY)" xr:uid="{5BC79C2D-ADD0-4960-8869-F06502A06759}"/>
    <hyperlink ref="C49" location="'2026_MAYO_KIDNEY_CADAVERIC'!A1" display="Cadaveric Donor Kidney Transplant Contract (CKY)" xr:uid="{6EA156A1-2216-4A7C-9D94-C36FA5D73001}"/>
    <hyperlink ref="C32" location="'2026_MAYO_SIMU_CADV_LIV_KDY'!A1" display="Adult Cadaveric Liver Transplant Contract (LIV)" xr:uid="{00C98F1D-6F2C-4DCE-BA91-96ACA11F16CF}"/>
    <hyperlink ref="C132" location="'2026_MAYO_SIMU_CADV_LIV_KDY'!A1" display="Simultaneous Cadaveric Liver/Kidney Transplant Contract (SLK)" xr:uid="{FBA595AC-83A6-4FDC-801F-47830BF4549D}"/>
    <hyperlink ref="C136" location="'2026_MAYO_SIMU_KDY_PANCREAS'!A1" display="Simultaneous Kidney/Pancreas Transplant Contract (SPK)" xr:uid="{BD37BA87-93E5-4CA5-B06D-6F7C4D5EC64B}"/>
    <hyperlink ref="C75" location="'2026_MAYO_PANCREASafter_KDY'!A1" display="Pancreas After Kidney Transplant Contract (PAK)" xr:uid="{160086E7-25B2-4FFB-8140-7A2B23C853B5}"/>
    <hyperlink ref="C103" location="'2026_PCH_PED_BMT_AUTO'!A1" display="Pediatric Autologous Bone Marrow Transplant Contract (PAU)" xr:uid="{4DCA631A-EA60-45E2-8E5B-80D746AA27A6}"/>
    <hyperlink ref="C81" location="'2026_PCH_PED_BMT_ALLO_RELATE'!A1" display="Pediatric Allogeneic Related Bone Marrow Transplant Contract (PAL)" xr:uid="{20498A41-3833-462A-83B5-30315471651C}"/>
    <hyperlink ref="C87" location="'2026_PCH_PED_HAPLOID'!A1" display="Pediatric HAPloid Related Hematopoietic Stem Cell Transplant Contract (PHA)" xr:uid="{0CECED86-C02A-47F6-A406-3FEC987E5076}"/>
    <hyperlink ref="C93" location="'2026_PCH_PED_BMT_ALLO_UNREL'!A1" display="Pediatric Allogeneic Unrelated Bone Marrow Transplant Contract (PLU)" xr:uid="{35207493-B8AE-4360-9758-25549F8D5FEA}"/>
    <hyperlink ref="C26" location="'2026_PCH_BMT_AUT_ADULT'!A1" display="Adult Autologous Bone Marrow Transplant Contract (AUT)" xr:uid="{EA1B9646-51E6-4A90-AE8F-E0233C2F79B0}"/>
    <hyperlink ref="C10" location="'2026_PCH_BMT_ADULT_ALLO_REL'!A1" display="Adult Allogeneic Related Bone Marrow Transplant Contract (ALO)" xr:uid="{81314476-9743-45F2-B445-7D202BBFE95B}"/>
    <hyperlink ref="C39" location="'2026_PCH_ADULT_HAPLOID'!A1" display="Adult HAPloid Hematopoietic Stem Cell Transplant Contract (HAP)" xr:uid="{3AA59EDE-299D-4556-B380-2E15E647A706}"/>
    <hyperlink ref="C18" location="'2026_PCH_ADULT_ALLO_UNREL'!A1" display="Adult Allogeneic Unrelated Bone Marrow Transplant Contract (ALU)" xr:uid="{9EE60853-FF5E-431B-B2BA-DB55853995D5}"/>
    <hyperlink ref="C153" location="'2026_PCH_TBI'!A1" display="Total Body Irradiation (TBI)" xr:uid="{E044BEAE-39B0-4B5E-85BC-67406D069DC2}"/>
    <hyperlink ref="C53" location="'2026_PCH_VOD'!A1" display="Defibrotide Drug Therapy For The Treatment Of Venous Occlusive Disease Contract (Vod)" xr:uid="{C5DECF62-08BC-4455-AB9A-F6D6EDD3D3D8}"/>
    <hyperlink ref="C127" location="'2026_PCH_KIDNEY_LIVING'!A1" display="Pediatric Kidney Living Donor Transplant Contract (PKY)" xr:uid="{31BDC9D2-1C75-4CD0-B2B1-6151F3D86C3F}"/>
    <hyperlink ref="C124" location="'2026_PCH_KIDNEY_CADAVERIC'!A1" display="Pediatric Kidney Cadaveric Donor Transplant Contract (PCK)" xr:uid="{F8D72B25-2C66-4492-833C-48F194C5D8BD}"/>
    <hyperlink ref="C121" location="'2026_PCH_PEDIATRIC_HEART'!A1" display="Pediatric Heart Transplant (PHT)" xr:uid="{47229195-E00B-4BD9-9D64-75BDA0C18CE1}"/>
    <hyperlink ref="C110" location="'2026_PCH_PED_CADAVER_LIVER'!A1" display="Pediatric Cadaveric LIVer Transplant (PLV)" xr:uid="{59E6344D-7EAE-4104-9B6C-94C7DB6EE6DE}"/>
    <hyperlink ref="C11" location="'2026_SCH_SHEA_BMT_ALLO_REL'!A1" display="Adult Allogeneic Related Bone Marrow Transplant Contract (ALO)" xr:uid="{1AF63874-EE88-44D8-B3DC-3049588A2180}"/>
    <hyperlink ref="C27" location="'2026_SCH_SHEA_BMT_AUTO'!A1" display="Adult Autologous Bone Marrow Transplant Contract (AUT)" xr:uid="{81A69264-3E36-43DF-9697-75C4A7D15A71}"/>
    <hyperlink ref="C40" location="'2026_SCH_SHEA_HAPLOID_BMT'!A1" display="Adult HAPloid Hematopoietic Stem Cell Transplant Contract (HAP)" xr:uid="{BC87369C-A3CA-4234-BEF1-03A4CB1AD3D6}"/>
    <hyperlink ref="C19" location="'2026_SCH_SHEA_BMT_ALLO_UNREL'!A1" display="Adult Allogeneic Unrelated Bone Marrow Transplant Contract (ALU)" xr:uid="{5270DE51-5554-4435-884F-ACEEB28E95DE}"/>
    <hyperlink ref="C154" location="'2026_SCH_SHEA_TBI'!A1" display="Total Body Irradiation (TBI)" xr:uid="{92809695-6081-4421-8DF9-89D00B0B6981}"/>
    <hyperlink ref="C130" location="'2026_ST_JOES_SIMUL_CAD_LIV_KID'!A1" display="Simultaneous Cadaveric LIVer And Kidney Transplant Contract (SLK)" xr:uid="{B27E5045-F007-438B-90D1-F3BCD3C7601E}"/>
    <hyperlink ref="C33" location="'2026_ST_JOSEPHS_CAD_LIVER_ADULT'!A1" display="Adult Cadaveric LIVer Transplant Contract (LIV)" xr:uid="{5BA70289-3B65-4C1E-9A37-889C95F988CC}"/>
    <hyperlink ref="C50" location="'2026_ST_JOSEPHS_CAD_LIVER_ADULT'!A1" display="Cadaveric Donor Kidney Transplant (CKY)" xr:uid="{B876D4A9-AB6F-47FF-83C8-44BA84A909EE}"/>
    <hyperlink ref="C67" location="'2026_ST_JOSEPHS_LIVING_KDY'!A1" display="Living Donor Kidney Transplant (KDY)" xr:uid="{0F0A09E3-74E0-4A7A-A355-F79D8DBD0F66}"/>
    <hyperlink ref="C56" location="'2026_ST_JOSEPHS_DOUBLE_LUNG'!A1" display="Double Lung Transplant (DLL)" xr:uid="{62B787DA-2834-454C-9FBE-C48C2F067F50}"/>
    <hyperlink ref="C60" location="'2026_STANFORD_HEART'!A1" display="Heart Transplant Contract (HRT)" xr:uid="{3DAA8EF5-C4C9-4F5A-BF83-4A4114D4AEC3}"/>
    <hyperlink ref="C140" location="'2026_ST_JOSEPHS_SINGLE_LUNG'!A1" display="Single Lung Transplant Contract (SLT)" xr:uid="{8A5032B6-5841-47EA-BAC3-A414EC1EE5E1}"/>
    <hyperlink ref="C143" location="'2026_STANFORD_SINGLE_DOUBL_LUNG'!A1" display="Single Lung Transplant Contract (SLT) Or Double Lung Transplant (DLL)" xr:uid="{BA347ECA-E46D-4C42-AE7E-0472E98609F4}"/>
    <hyperlink ref="C44" location="'2026_STANFORD_Heart_Lung'!A1" display="Adult Heart And Lung Transplant (HLT)" xr:uid="{DE9594B8-BAB9-418D-8542-3C904BFC716B}"/>
    <hyperlink ref="C94" location="'2026_UCSF_PED_ALLO_UNR_MUDSCID'!A1" display="Allogeneic Unrelated Pediatric Bone Marrow Transplant Contract Scid Only (PLU)" xr:uid="{9D756539-D307-463F-B71E-EB6B42996FA9}"/>
    <hyperlink ref="C82" location="'2026_UCSF_PED_ALLO_REL_SCIDS'!A1" display="Pediatric Allogeneic Related Bone Marrow Transplant Contract Scid Only (PAL)" xr:uid="{3934C1D3-B7E8-4ACC-B876-BDBDCE79A163}"/>
    <hyperlink ref="C104" location="'2026_UCSF_PED_AUT_MUDSCID'!A1" display="Pediatric Autologous Bone Marrow Transplant Contract Scid Only (PAU)" xr:uid="{F11212CB-DF6B-422C-9E80-F0975ABF3E1F}"/>
    <hyperlink ref="C85" location="'2026_BUMCT_HAPLOID_PEDS'!A1" display="Banner University Medical Center Tucson Campus, Llc" xr:uid="{B78EDAFC-A6BD-42FB-9435-9E7FB7293E97}"/>
    <hyperlink ref="C135" location="'2026_BUMCP_SIM_KIDNEY_PANCR'!A1" display="Simulataneous Kidney/Pancreas Transplant Contract (SPK)" xr:uid="{7F09E5E2-DF13-4BAB-8B43-A958C29476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5911-29EF-4817-BBA2-D7E91709FBC8}">
  <sheetPr codeName="Sheet44"/>
  <dimension ref="A1:K66"/>
  <sheetViews>
    <sheetView showGridLines="0" workbookViewId="0">
      <pane ySplit="2" topLeftCell="A32" activePane="bottomLeft" state="frozen"/>
      <selection pane="bottomLeft" activeCell="G17" sqref="G17"/>
      <selection activeCell="G17" sqref="G17"/>
    </sheetView>
  </sheetViews>
  <sheetFormatPr defaultColWidth="8.625" defaultRowHeight="15.6"/>
  <cols>
    <col min="1" max="1" width="5.5" style="3" customWidth="1"/>
    <col min="2" max="2" width="45.625" style="1" customWidth="1"/>
    <col min="3" max="4" width="8.625" style="1"/>
    <col min="5" max="5" width="5.875" style="3" customWidth="1"/>
    <col min="6" max="6" width="60.25" style="1" customWidth="1"/>
    <col min="7" max="7" width="10.375" style="1" customWidth="1"/>
    <col min="8" max="8" width="5.875" style="3" customWidth="1"/>
    <col min="9" max="9" width="57.875" style="1" customWidth="1"/>
    <col min="10" max="16384" width="8.625" style="1"/>
  </cols>
  <sheetData>
    <row r="1" spans="1:10">
      <c r="B1" s="200" t="s">
        <v>61</v>
      </c>
      <c r="F1" s="200" t="s">
        <v>62</v>
      </c>
    </row>
    <row r="2" spans="1:10" ht="18.600000000000001">
      <c r="A2" s="199" t="s">
        <v>63</v>
      </c>
      <c r="E2" s="199" t="s">
        <v>64</v>
      </c>
      <c r="H2" s="199"/>
      <c r="I2" s="199" t="s">
        <v>65</v>
      </c>
    </row>
    <row r="3" spans="1:10" ht="18.600000000000001">
      <c r="A3" s="199"/>
      <c r="E3" s="199"/>
      <c r="H3" s="199"/>
      <c r="I3" s="199"/>
    </row>
    <row r="4" spans="1:10">
      <c r="A4" s="3">
        <v>1</v>
      </c>
      <c r="B4" s="197" t="s">
        <v>66</v>
      </c>
      <c r="E4" s="3">
        <v>1</v>
      </c>
      <c r="F4" s="1" t="s">
        <v>67</v>
      </c>
      <c r="H4" s="3">
        <v>1</v>
      </c>
      <c r="I4" s="1" t="s">
        <v>68</v>
      </c>
    </row>
    <row r="5" spans="1:10">
      <c r="B5" s="1" t="s">
        <v>69</v>
      </c>
      <c r="I5" s="1" t="s">
        <v>70</v>
      </c>
    </row>
    <row r="6" spans="1:10">
      <c r="B6" s="197"/>
      <c r="E6" s="3">
        <v>2</v>
      </c>
      <c r="F6" s="1" t="s">
        <v>71</v>
      </c>
      <c r="I6" s="1" t="s">
        <v>72</v>
      </c>
    </row>
    <row r="7" spans="1:10">
      <c r="F7" s="1" t="s">
        <v>73</v>
      </c>
    </row>
    <row r="8" spans="1:10">
      <c r="H8" s="3">
        <v>2</v>
      </c>
      <c r="I8" s="1" t="s">
        <v>74</v>
      </c>
    </row>
    <row r="9" spans="1:10">
      <c r="I9" s="1" t="s">
        <v>75</v>
      </c>
    </row>
    <row r="10" spans="1:10">
      <c r="I10" s="1" t="s">
        <v>76</v>
      </c>
    </row>
    <row r="11" spans="1:10">
      <c r="A11" s="3">
        <v>2</v>
      </c>
      <c r="B11" s="197" t="s">
        <v>77</v>
      </c>
      <c r="I11" s="1" t="s">
        <v>78</v>
      </c>
    </row>
    <row r="12" spans="1:10">
      <c r="I12" s="1" t="s">
        <v>79</v>
      </c>
      <c r="J12" s="1" t="s">
        <v>80</v>
      </c>
    </row>
    <row r="13" spans="1:10">
      <c r="F13" s="1" t="s">
        <v>81</v>
      </c>
      <c r="I13" s="1" t="s">
        <v>82</v>
      </c>
    </row>
    <row r="14" spans="1:10">
      <c r="F14" s="1" t="s">
        <v>83</v>
      </c>
      <c r="I14" s="1" t="s">
        <v>84</v>
      </c>
    </row>
    <row r="15" spans="1:10">
      <c r="I15" s="1" t="s">
        <v>85</v>
      </c>
    </row>
    <row r="16" spans="1:10">
      <c r="E16" s="3">
        <v>3</v>
      </c>
      <c r="F16" s="1" t="s">
        <v>86</v>
      </c>
    </row>
    <row r="17" spans="1:11">
      <c r="H17" s="3">
        <v>3</v>
      </c>
      <c r="I17" s="1" t="s">
        <v>87</v>
      </c>
    </row>
    <row r="18" spans="1:11">
      <c r="E18" s="3">
        <v>4</v>
      </c>
      <c r="F18" s="197" t="s">
        <v>88</v>
      </c>
    </row>
    <row r="19" spans="1:11">
      <c r="F19" s="197"/>
      <c r="H19" s="3">
        <v>4</v>
      </c>
      <c r="I19" s="1" t="s">
        <v>89</v>
      </c>
    </row>
    <row r="20" spans="1:11">
      <c r="E20" s="3">
        <v>5</v>
      </c>
      <c r="F20" s="1" t="s">
        <v>90</v>
      </c>
    </row>
    <row r="21" spans="1:11">
      <c r="H21" s="3">
        <v>5</v>
      </c>
      <c r="I21" s="1" t="s">
        <v>91</v>
      </c>
    </row>
    <row r="22" spans="1:11">
      <c r="A22" s="3">
        <v>3</v>
      </c>
      <c r="B22" s="197" t="s">
        <v>92</v>
      </c>
      <c r="E22" s="3">
        <v>6</v>
      </c>
      <c r="F22" s="1" t="s">
        <v>93</v>
      </c>
      <c r="I22" s="1" t="s">
        <v>94</v>
      </c>
    </row>
    <row r="23" spans="1:11">
      <c r="B23" s="1" t="s">
        <v>95</v>
      </c>
      <c r="F23" s="1" t="s">
        <v>96</v>
      </c>
      <c r="I23" s="1" t="s">
        <v>97</v>
      </c>
    </row>
    <row r="24" spans="1:11">
      <c r="B24" s="1" t="s">
        <v>98</v>
      </c>
      <c r="F24" s="201" t="s">
        <v>99</v>
      </c>
      <c r="I24" s="1" t="s">
        <v>100</v>
      </c>
      <c r="K24" s="197"/>
    </row>
    <row r="25" spans="1:11">
      <c r="B25" s="198" t="s">
        <v>101</v>
      </c>
      <c r="F25" s="1" t="s">
        <v>102</v>
      </c>
      <c r="I25" s="1" t="s">
        <v>103</v>
      </c>
    </row>
    <row r="26" spans="1:11">
      <c r="F26" s="1" t="s">
        <v>104</v>
      </c>
      <c r="I26" s="1" t="s">
        <v>105</v>
      </c>
    </row>
    <row r="28" spans="1:11">
      <c r="H28" s="3">
        <v>6</v>
      </c>
      <c r="I28" s="1" t="s">
        <v>106</v>
      </c>
    </row>
    <row r="29" spans="1:11">
      <c r="I29" s="1" t="s">
        <v>107</v>
      </c>
    </row>
    <row r="30" spans="1:11">
      <c r="E30" s="3">
        <v>7</v>
      </c>
      <c r="F30" s="1" t="s">
        <v>108</v>
      </c>
    </row>
    <row r="31" spans="1:11">
      <c r="F31" s="1" t="s">
        <v>109</v>
      </c>
      <c r="H31" s="3">
        <v>7</v>
      </c>
      <c r="I31" s="1" t="s">
        <v>110</v>
      </c>
    </row>
    <row r="33" spans="1:9">
      <c r="H33" s="3">
        <v>8</v>
      </c>
      <c r="I33" s="1" t="s">
        <v>111</v>
      </c>
    </row>
    <row r="34" spans="1:9">
      <c r="I34" s="1" t="s">
        <v>112</v>
      </c>
    </row>
    <row r="35" spans="1:9">
      <c r="I35" s="1" t="s">
        <v>113</v>
      </c>
    </row>
    <row r="37" spans="1:9">
      <c r="A37" s="3">
        <v>4</v>
      </c>
      <c r="B37" s="197" t="s">
        <v>114</v>
      </c>
      <c r="H37" s="3">
        <v>9</v>
      </c>
      <c r="I37" s="1" t="s">
        <v>115</v>
      </c>
    </row>
    <row r="38" spans="1:9">
      <c r="E38" s="3">
        <v>8</v>
      </c>
      <c r="F38" s="1" t="s">
        <v>116</v>
      </c>
    </row>
    <row r="39" spans="1:9">
      <c r="F39" s="1" t="s">
        <v>117</v>
      </c>
      <c r="H39" s="3">
        <v>10</v>
      </c>
      <c r="I39" s="1" t="s">
        <v>118</v>
      </c>
    </row>
    <row r="41" spans="1:9">
      <c r="E41" s="3">
        <v>9</v>
      </c>
      <c r="F41" s="1" t="s">
        <v>86</v>
      </c>
      <c r="H41" s="3">
        <v>11</v>
      </c>
      <c r="I41" s="1" t="s">
        <v>119</v>
      </c>
    </row>
    <row r="43" spans="1:9">
      <c r="E43" s="3">
        <v>10</v>
      </c>
      <c r="F43" s="197" t="s">
        <v>120</v>
      </c>
      <c r="H43" s="3">
        <v>12</v>
      </c>
      <c r="I43" s="1" t="s">
        <v>121</v>
      </c>
    </row>
    <row r="45" spans="1:9">
      <c r="E45" s="3">
        <v>11</v>
      </c>
      <c r="F45" s="1" t="s">
        <v>122</v>
      </c>
      <c r="H45" s="3">
        <v>13</v>
      </c>
      <c r="I45" s="1" t="s">
        <v>123</v>
      </c>
    </row>
    <row r="46" spans="1:9">
      <c r="I46" s="1" t="s">
        <v>124</v>
      </c>
    </row>
    <row r="47" spans="1:9">
      <c r="F47" s="1" t="s">
        <v>125</v>
      </c>
    </row>
    <row r="48" spans="1:9">
      <c r="F48" s="1" t="s">
        <v>110</v>
      </c>
      <c r="H48" s="3">
        <v>14</v>
      </c>
      <c r="I48" s="197" t="s">
        <v>126</v>
      </c>
    </row>
    <row r="49" spans="5:9">
      <c r="F49" s="1" t="s">
        <v>127</v>
      </c>
      <c r="I49" s="1" t="s">
        <v>128</v>
      </c>
    </row>
    <row r="50" spans="5:9">
      <c r="F50" s="1" t="s">
        <v>129</v>
      </c>
    </row>
    <row r="51" spans="5:9">
      <c r="F51" s="1" t="s">
        <v>130</v>
      </c>
      <c r="H51" s="3">
        <v>15</v>
      </c>
      <c r="I51" s="200" t="s">
        <v>131</v>
      </c>
    </row>
    <row r="52" spans="5:9">
      <c r="F52" s="1" t="s">
        <v>132</v>
      </c>
    </row>
    <row r="53" spans="5:9">
      <c r="F53" s="1" t="s">
        <v>133</v>
      </c>
      <c r="H53" s="3">
        <v>16</v>
      </c>
      <c r="I53" s="1" t="s">
        <v>134</v>
      </c>
    </row>
    <row r="55" spans="5:9">
      <c r="H55" s="3">
        <v>17</v>
      </c>
      <c r="I55" s="1" t="s">
        <v>135</v>
      </c>
    </row>
    <row r="60" spans="5:9">
      <c r="F60" s="200" t="s">
        <v>136</v>
      </c>
    </row>
    <row r="61" spans="5:9">
      <c r="E61" s="3">
        <v>12</v>
      </c>
      <c r="F61" s="1" t="s">
        <v>137</v>
      </c>
    </row>
    <row r="63" spans="5:9">
      <c r="E63" s="3">
        <v>13</v>
      </c>
      <c r="F63" s="1" t="s">
        <v>138</v>
      </c>
    </row>
    <row r="65" spans="6:6">
      <c r="F65" s="1" t="s">
        <v>139</v>
      </c>
    </row>
    <row r="66" spans="6:6">
      <c r="F66" s="1" t="s">
        <v>140</v>
      </c>
    </row>
  </sheetData>
  <sheetProtection algorithmName="SHA-512" hashValue="GVQufCPx1Z343cH2RGgHEqCoSF/fikM/B8EH52DqCG9DqN/DJYct4rY7MKtCC5AHl3T0ynFL6mVhDDQWx/6u1g==" saltValue="oIB66nn2Ub8ik3n3/PDN1A==" spinCount="100000" sheet="1" objects="1" scenarios="1"/>
  <hyperlinks>
    <hyperlink ref="F24" r:id="rId1" display="https://ahcccs.sharepoint.com/:x:/r/sites/DHCMReimbursement/Shared Documents/Transplant/Contract 2026/SP_Global_HealthCare_Cost_Tables_Q1_2025.xlsx?d=wf88652d81df845bf8743aa34071860b2&amp;csf=1&amp;web=1&amp;e=sa1WnN" xr:uid="{AA702C37-9491-4C0E-9A40-03B3FDFC94E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8B45-1198-41C1-95D3-55C4B0ADDBF0}">
  <sheetPr codeName="Sheet36">
    <tabColor rgb="FF00CC00"/>
  </sheetPr>
  <dimension ref="A1:AI286"/>
  <sheetViews>
    <sheetView showGridLines="0" zoomScale="110" zoomScaleNormal="110" workbookViewId="0">
      <pane ySplit="1" topLeftCell="A261" activePane="bottomLeft" state="frozen"/>
      <selection pane="bottomLeft" activeCell="B286" sqref="B286"/>
      <selection activeCell="F9" sqref="F9"/>
    </sheetView>
  </sheetViews>
  <sheetFormatPr defaultColWidth="8.625" defaultRowHeight="15.6"/>
  <cols>
    <col min="1" max="1" width="3.625" style="3" customWidth="1"/>
    <col min="2" max="2" width="23.375" style="1" customWidth="1"/>
    <col min="3" max="3" width="9.125" style="1" customWidth="1"/>
    <col min="4" max="7" width="8.625" style="1"/>
    <col min="8" max="8" width="10.125" style="1" customWidth="1"/>
    <col min="9" max="9" width="9.5" style="1" customWidth="1"/>
    <col min="10" max="11" width="8.625" style="1"/>
    <col min="12" max="13" width="8.625" style="1" customWidth="1"/>
    <col min="14" max="16" width="8.625" style="1"/>
    <col min="17" max="17" width="10.125" style="1" customWidth="1"/>
    <col min="18" max="16384" width="8.625" style="1"/>
  </cols>
  <sheetData>
    <row r="1" spans="1:35" ht="25.5" customHeight="1">
      <c r="B1" s="536"/>
    </row>
    <row r="3" spans="1:35">
      <c r="A3" s="3" t="s">
        <v>141</v>
      </c>
      <c r="B3" s="197"/>
    </row>
    <row r="4" spans="1:35">
      <c r="A4" s="3">
        <v>1</v>
      </c>
      <c r="B4" s="197" t="s">
        <v>142</v>
      </c>
      <c r="C4" s="537" t="s">
        <v>143</v>
      </c>
      <c r="M4" s="1" t="s">
        <v>144</v>
      </c>
      <c r="AB4" s="538" t="s">
        <v>145</v>
      </c>
      <c r="AC4" s="539"/>
      <c r="AD4" s="539"/>
      <c r="AE4" s="539"/>
      <c r="AF4" s="539"/>
      <c r="AG4" s="540" t="s">
        <v>146</v>
      </c>
      <c r="AH4" s="539"/>
      <c r="AI4" s="541"/>
    </row>
    <row r="5" spans="1:35">
      <c r="A5" s="3">
        <v>2</v>
      </c>
      <c r="B5" s="1" t="s">
        <v>147</v>
      </c>
      <c r="AB5" s="542" t="s">
        <v>148</v>
      </c>
      <c r="AG5" s="543" t="s">
        <v>149</v>
      </c>
      <c r="AI5" s="544"/>
    </row>
    <row r="6" spans="1:35">
      <c r="B6" s="1" t="s">
        <v>150</v>
      </c>
      <c r="G6" s="194"/>
      <c r="H6" s="194"/>
      <c r="I6" s="197"/>
      <c r="K6" s="545"/>
      <c r="AB6" s="542" t="s">
        <v>151</v>
      </c>
      <c r="AG6" s="543" t="s">
        <v>152</v>
      </c>
      <c r="AI6" s="544"/>
    </row>
    <row r="7" spans="1:35">
      <c r="B7" s="1" t="s">
        <v>153</v>
      </c>
      <c r="G7" s="194"/>
      <c r="H7" s="194"/>
      <c r="AB7" s="542" t="s">
        <v>154</v>
      </c>
      <c r="AI7" s="544"/>
    </row>
    <row r="8" spans="1:35">
      <c r="B8" s="1" t="s">
        <v>155</v>
      </c>
      <c r="AB8" s="546"/>
      <c r="AI8" s="544"/>
    </row>
    <row r="9" spans="1:35">
      <c r="B9" s="1" t="s">
        <v>156</v>
      </c>
      <c r="E9" s="194"/>
      <c r="F9" s="194"/>
      <c r="AB9" s="546"/>
      <c r="AI9" s="544"/>
    </row>
    <row r="10" spans="1:35">
      <c r="A10" s="3">
        <v>3</v>
      </c>
      <c r="B10" s="1" t="s">
        <v>157</v>
      </c>
      <c r="AB10" s="542" t="s">
        <v>158</v>
      </c>
      <c r="AI10" s="544"/>
    </row>
    <row r="11" spans="1:35">
      <c r="B11" s="1" t="s">
        <v>159</v>
      </c>
      <c r="AB11" s="542" t="s">
        <v>160</v>
      </c>
      <c r="AI11" s="544"/>
    </row>
    <row r="12" spans="1:35">
      <c r="B12" s="1" t="s">
        <v>161</v>
      </c>
      <c r="AB12" s="546"/>
      <c r="AI12" s="544"/>
    </row>
    <row r="13" spans="1:35">
      <c r="B13" s="1" t="s">
        <v>162</v>
      </c>
      <c r="AB13" s="542" t="s">
        <v>163</v>
      </c>
      <c r="AI13" s="544"/>
    </row>
    <row r="14" spans="1:35">
      <c r="C14" s="545" t="s">
        <v>164</v>
      </c>
      <c r="J14" s="6" t="s">
        <v>165</v>
      </c>
      <c r="K14" s="545" t="s">
        <v>166</v>
      </c>
      <c r="L14" s="198"/>
      <c r="AB14" s="542"/>
      <c r="AI14" s="544"/>
    </row>
    <row r="15" spans="1:35" ht="17.100000000000001" customHeight="1">
      <c r="B15" s="1" t="s">
        <v>167</v>
      </c>
      <c r="AB15" s="542" t="s">
        <v>168</v>
      </c>
      <c r="AI15" s="544"/>
    </row>
    <row r="16" spans="1:35">
      <c r="B16" s="1" t="s">
        <v>169</v>
      </c>
      <c r="AB16" s="542" t="s">
        <v>170</v>
      </c>
      <c r="AI16" s="544"/>
    </row>
    <row r="17" spans="2:35">
      <c r="B17" s="1" t="s">
        <v>171</v>
      </c>
      <c r="AB17" s="542" t="s">
        <v>172</v>
      </c>
      <c r="AI17" s="544"/>
    </row>
    <row r="18" spans="2:35">
      <c r="B18" s="1" t="s">
        <v>173</v>
      </c>
      <c r="AB18" s="546"/>
      <c r="AI18" s="544"/>
    </row>
    <row r="19" spans="2:35">
      <c r="B19" s="547" t="s">
        <v>174</v>
      </c>
      <c r="AB19" s="542" t="s">
        <v>175</v>
      </c>
      <c r="AI19" s="544"/>
    </row>
    <row r="20" spans="2:35">
      <c r="B20" s="1" t="s">
        <v>176</v>
      </c>
      <c r="AB20" s="542" t="s">
        <v>177</v>
      </c>
      <c r="AI20" s="544"/>
    </row>
    <row r="21" spans="2:35">
      <c r="AB21" s="542" t="s">
        <v>178</v>
      </c>
      <c r="AI21" s="544"/>
    </row>
    <row r="22" spans="2:35">
      <c r="B22" s="1" t="s">
        <v>179</v>
      </c>
      <c r="AB22" s="542" t="s">
        <v>180</v>
      </c>
      <c r="AI22" s="544"/>
    </row>
    <row r="23" spans="2:35">
      <c r="B23" s="1" t="s">
        <v>181</v>
      </c>
      <c r="G23" s="1" t="s">
        <v>182</v>
      </c>
      <c r="L23" s="2" t="s">
        <v>183</v>
      </c>
      <c r="AB23" s="542" t="s">
        <v>184</v>
      </c>
      <c r="AI23" s="544"/>
    </row>
    <row r="24" spans="2:35">
      <c r="B24" s="1" t="s">
        <v>185</v>
      </c>
      <c r="L24" s="548" t="s">
        <v>186</v>
      </c>
      <c r="M24" s="549"/>
      <c r="AB24" s="542" t="s">
        <v>187</v>
      </c>
      <c r="AI24" s="544"/>
    </row>
    <row r="25" spans="2:35">
      <c r="B25" s="550"/>
      <c r="C25" s="1" t="s">
        <v>188</v>
      </c>
      <c r="L25" s="548" t="s">
        <v>189</v>
      </c>
      <c r="M25" s="549"/>
      <c r="AB25" s="542" t="s">
        <v>190</v>
      </c>
      <c r="AI25" s="544"/>
    </row>
    <row r="26" spans="2:35">
      <c r="C26" s="549" t="s">
        <v>191</v>
      </c>
      <c r="L26" s="548" t="s">
        <v>192</v>
      </c>
      <c r="M26" s="549"/>
      <c r="AB26" s="542" t="s">
        <v>193</v>
      </c>
      <c r="AI26" s="544"/>
    </row>
    <row r="27" spans="2:35">
      <c r="C27" s="549" t="s">
        <v>194</v>
      </c>
      <c r="L27" s="548" t="s">
        <v>195</v>
      </c>
      <c r="M27" s="549"/>
      <c r="AB27" s="551" t="s">
        <v>196</v>
      </c>
      <c r="AC27" s="552"/>
      <c r="AD27" s="552"/>
      <c r="AE27" s="552"/>
      <c r="AF27" s="552"/>
      <c r="AG27" s="552"/>
      <c r="AH27" s="552"/>
      <c r="AI27" s="553"/>
    </row>
    <row r="28" spans="2:35">
      <c r="C28" s="549" t="s">
        <v>197</v>
      </c>
      <c r="L28" s="548" t="s">
        <v>198</v>
      </c>
      <c r="M28" s="549"/>
    </row>
    <row r="29" spans="2:35">
      <c r="C29" s="549" t="s">
        <v>199</v>
      </c>
      <c r="L29" s="548" t="s">
        <v>200</v>
      </c>
      <c r="M29" s="549"/>
      <c r="Z29" s="554"/>
    </row>
    <row r="30" spans="2:35">
      <c r="C30" s="549" t="s">
        <v>201</v>
      </c>
      <c r="L30" s="548" t="s">
        <v>202</v>
      </c>
      <c r="M30" s="549"/>
    </row>
    <row r="31" spans="2:35">
      <c r="C31" s="549" t="s">
        <v>203</v>
      </c>
      <c r="L31" s="548" t="s">
        <v>204</v>
      </c>
      <c r="M31" s="549"/>
    </row>
    <row r="32" spans="2:35">
      <c r="C32" s="549" t="s">
        <v>205</v>
      </c>
      <c r="L32" s="548" t="s">
        <v>206</v>
      </c>
      <c r="M32" s="549"/>
    </row>
    <row r="33" spans="2:13">
      <c r="C33" s="549" t="s">
        <v>207</v>
      </c>
      <c r="L33" s="548" t="s">
        <v>208</v>
      </c>
      <c r="M33" s="549"/>
    </row>
    <row r="34" spans="2:13">
      <c r="C34" s="549" t="s">
        <v>209</v>
      </c>
      <c r="L34" s="548" t="s">
        <v>210</v>
      </c>
      <c r="M34" s="549"/>
    </row>
    <row r="35" spans="2:13">
      <c r="C35" s="549"/>
      <c r="L35" s="555" t="s">
        <v>211</v>
      </c>
      <c r="M35" s="549"/>
    </row>
    <row r="36" spans="2:13">
      <c r="B36" s="1" t="s">
        <v>212</v>
      </c>
      <c r="M36" s="549"/>
    </row>
    <row r="37" spans="2:13">
      <c r="B37" s="1" t="s">
        <v>213</v>
      </c>
    </row>
    <row r="39" spans="2:13">
      <c r="B39" s="1" t="s">
        <v>214</v>
      </c>
      <c r="F39" s="194"/>
      <c r="G39" s="194"/>
    </row>
    <row r="41" spans="2:13">
      <c r="B41" s="1" t="s">
        <v>215</v>
      </c>
      <c r="H41" s="549" t="s">
        <v>198</v>
      </c>
    </row>
    <row r="42" spans="2:13">
      <c r="H42" s="549" t="s">
        <v>200</v>
      </c>
    </row>
    <row r="43" spans="2:13">
      <c r="B43" s="1" t="s">
        <v>216</v>
      </c>
      <c r="C43" s="549"/>
    </row>
    <row r="45" spans="2:13">
      <c r="B45" s="197" t="s">
        <v>217</v>
      </c>
    </row>
    <row r="46" spans="2:13">
      <c r="B46" s="197" t="s">
        <v>218</v>
      </c>
    </row>
    <row r="48" spans="2:13">
      <c r="B48" s="1" t="s">
        <v>219</v>
      </c>
    </row>
    <row r="49" spans="2:2">
      <c r="B49" s="1" t="s">
        <v>220</v>
      </c>
    </row>
    <row r="51" spans="2:2">
      <c r="B51" s="1" t="s">
        <v>221</v>
      </c>
    </row>
    <row r="53" spans="2:2">
      <c r="B53" s="197" t="s">
        <v>222</v>
      </c>
    </row>
    <row r="54" spans="2:2">
      <c r="B54" s="1" t="s">
        <v>223</v>
      </c>
    </row>
    <row r="55" spans="2:2">
      <c r="B55" s="197" t="s">
        <v>224</v>
      </c>
    </row>
    <row r="56" spans="2:2">
      <c r="B56" s="556" t="s">
        <v>225</v>
      </c>
    </row>
    <row r="57" spans="2:2">
      <c r="B57" s="1" t="s">
        <v>226</v>
      </c>
    </row>
    <row r="58" spans="2:2">
      <c r="B58" s="557" t="s">
        <v>227</v>
      </c>
    </row>
    <row r="59" spans="2:2">
      <c r="B59" s="557"/>
    </row>
    <row r="60" spans="2:2">
      <c r="B60" s="557" t="s">
        <v>228</v>
      </c>
    </row>
    <row r="61" spans="2:2">
      <c r="B61" s="557"/>
    </row>
    <row r="62" spans="2:2">
      <c r="B62" s="197" t="s">
        <v>229</v>
      </c>
    </row>
    <row r="63" spans="2:2">
      <c r="B63" s="556" t="s">
        <v>230</v>
      </c>
    </row>
    <row r="64" spans="2:2">
      <c r="B64" s="556" t="s">
        <v>231</v>
      </c>
    </row>
    <row r="65" spans="2:8">
      <c r="B65" s="1" t="s">
        <v>232</v>
      </c>
    </row>
    <row r="66" spans="2:8">
      <c r="B66" s="1" t="s">
        <v>233</v>
      </c>
    </row>
    <row r="67" spans="2:8">
      <c r="B67" s="1" t="s">
        <v>234</v>
      </c>
    </row>
    <row r="68" spans="2:8">
      <c r="B68" s="1" t="s">
        <v>235</v>
      </c>
    </row>
    <row r="71" spans="2:8">
      <c r="B71" s="197" t="s">
        <v>236</v>
      </c>
    </row>
    <row r="72" spans="2:8">
      <c r="B72" s="1" t="s">
        <v>237</v>
      </c>
    </row>
    <row r="74" spans="2:8">
      <c r="B74" s="1" t="s">
        <v>238</v>
      </c>
    </row>
    <row r="75" spans="2:8">
      <c r="B75" s="1" t="s">
        <v>239</v>
      </c>
    </row>
    <row r="76" spans="2:8">
      <c r="B76" s="1" t="s">
        <v>240</v>
      </c>
    </row>
    <row r="77" spans="2:8">
      <c r="B77" s="1" t="s">
        <v>241</v>
      </c>
    </row>
    <row r="78" spans="2:8">
      <c r="B78" s="200" t="s">
        <v>62</v>
      </c>
    </row>
    <row r="80" spans="2:8">
      <c r="B80" s="1" t="s">
        <v>242</v>
      </c>
      <c r="D80" s="580" t="s">
        <v>243</v>
      </c>
      <c r="E80" s="580"/>
      <c r="F80" s="580"/>
      <c r="G80" s="580"/>
      <c r="H80" s="580"/>
    </row>
    <row r="81" spans="2:11">
      <c r="B81" s="197" t="s">
        <v>244</v>
      </c>
    </row>
    <row r="82" spans="2:11">
      <c r="B82" s="1" t="s">
        <v>245</v>
      </c>
    </row>
    <row r="84" spans="2:11">
      <c r="B84" s="1" t="s">
        <v>246</v>
      </c>
      <c r="K84" s="197"/>
    </row>
    <row r="85" spans="2:11">
      <c r="B85" s="1" t="s">
        <v>247</v>
      </c>
    </row>
    <row r="87" spans="2:11">
      <c r="B87" s="197" t="s">
        <v>248</v>
      </c>
    </row>
    <row r="88" spans="2:11">
      <c r="B88" s="1" t="s">
        <v>249</v>
      </c>
      <c r="K88" s="197"/>
    </row>
    <row r="125" spans="1:3">
      <c r="B125" s="2" t="s">
        <v>250</v>
      </c>
      <c r="C125" s="1" t="s">
        <v>251</v>
      </c>
    </row>
    <row r="126" spans="1:3">
      <c r="B126" s="550" t="s">
        <v>252</v>
      </c>
      <c r="C126" s="1" t="s">
        <v>253</v>
      </c>
    </row>
    <row r="127" spans="1:3">
      <c r="A127" s="1"/>
      <c r="B127" s="550"/>
      <c r="C127" s="1" t="s">
        <v>254</v>
      </c>
    </row>
    <row r="128" spans="1:3">
      <c r="B128" s="550"/>
      <c r="C128" s="1" t="s">
        <v>255</v>
      </c>
    </row>
    <row r="129" spans="1:3" ht="21" customHeight="1">
      <c r="B129" s="2" t="s">
        <v>256</v>
      </c>
      <c r="C129" s="1" t="s">
        <v>257</v>
      </c>
    </row>
    <row r="130" spans="1:3">
      <c r="A130" s="1"/>
      <c r="B130" s="550"/>
      <c r="C130" s="1" t="s">
        <v>258</v>
      </c>
    </row>
    <row r="131" spans="1:3">
      <c r="A131" s="1"/>
      <c r="B131" s="550"/>
    </row>
    <row r="132" spans="1:3">
      <c r="A132" s="1"/>
      <c r="B132" s="550"/>
    </row>
    <row r="133" spans="1:3">
      <c r="A133" s="1"/>
      <c r="B133" s="550"/>
    </row>
    <row r="134" spans="1:3">
      <c r="A134" s="1"/>
      <c r="B134" s="550"/>
    </row>
    <row r="135" spans="1:3">
      <c r="A135" s="1"/>
      <c r="B135" s="550"/>
    </row>
    <row r="136" spans="1:3">
      <c r="A136" s="1"/>
      <c r="B136" s="550"/>
      <c r="C136" s="1" t="s">
        <v>259</v>
      </c>
    </row>
    <row r="137" spans="1:3">
      <c r="A137" s="1"/>
      <c r="B137" s="550"/>
    </row>
    <row r="138" spans="1:3">
      <c r="A138" s="1"/>
      <c r="B138" s="550"/>
    </row>
    <row r="139" spans="1:3">
      <c r="A139" s="1"/>
      <c r="B139" s="550"/>
    </row>
    <row r="140" spans="1:3">
      <c r="A140" s="1"/>
      <c r="B140" s="550"/>
    </row>
    <row r="141" spans="1:3">
      <c r="A141" s="1"/>
      <c r="B141" s="550"/>
    </row>
    <row r="142" spans="1:3">
      <c r="A142" s="1"/>
      <c r="B142" s="550"/>
    </row>
    <row r="143" spans="1:3">
      <c r="A143" s="1"/>
      <c r="B143" s="550"/>
    </row>
    <row r="144" spans="1:3">
      <c r="A144" s="1"/>
      <c r="B144" s="550"/>
    </row>
    <row r="145" spans="1:5">
      <c r="A145" s="1"/>
      <c r="B145" s="550"/>
    </row>
    <row r="146" spans="1:5">
      <c r="A146" s="1"/>
      <c r="B146" s="550"/>
    </row>
    <row r="147" spans="1:5">
      <c r="A147" s="1"/>
      <c r="B147" s="550"/>
    </row>
    <row r="148" spans="1:5">
      <c r="A148" s="1"/>
      <c r="B148" s="197" t="s">
        <v>260</v>
      </c>
    </row>
    <row r="149" spans="1:5">
      <c r="A149" s="1"/>
    </row>
    <row r="150" spans="1:5">
      <c r="A150" s="1"/>
    </row>
    <row r="151" spans="1:5">
      <c r="A151" s="1"/>
    </row>
    <row r="152" spans="1:5">
      <c r="A152" s="1"/>
    </row>
    <row r="153" spans="1:5">
      <c r="A153" s="1"/>
      <c r="B153" s="1" t="s">
        <v>261</v>
      </c>
    </row>
    <row r="154" spans="1:5">
      <c r="A154" s="1"/>
      <c r="B154" s="1" t="s">
        <v>262</v>
      </c>
    </row>
    <row r="155" spans="1:5">
      <c r="A155" s="1"/>
      <c r="E155" s="1" t="s">
        <v>263</v>
      </c>
    </row>
    <row r="156" spans="1:5">
      <c r="A156" s="1"/>
      <c r="B156" s="558" t="s">
        <v>264</v>
      </c>
      <c r="C156" s="559"/>
    </row>
    <row r="157" spans="1:5">
      <c r="A157" s="1"/>
    </row>
    <row r="158" spans="1:5">
      <c r="A158" s="1"/>
    </row>
    <row r="159" spans="1:5">
      <c r="A159" s="1"/>
    </row>
    <row r="160" spans="1:5">
      <c r="A160" s="1"/>
    </row>
    <row r="161" spans="1:6">
      <c r="A161" s="1"/>
    </row>
    <row r="162" spans="1:6">
      <c r="A162" s="1"/>
    </row>
    <row r="163" spans="1:6">
      <c r="A163" s="1"/>
    </row>
    <row r="164" spans="1:6">
      <c r="A164" s="1"/>
    </row>
    <row r="165" spans="1:6">
      <c r="A165" s="1"/>
    </row>
    <row r="166" spans="1:6">
      <c r="A166" s="1"/>
    </row>
    <row r="167" spans="1:6">
      <c r="A167" s="1"/>
    </row>
    <row r="168" spans="1:6">
      <c r="A168" s="1"/>
      <c r="B168" s="197" t="s">
        <v>265</v>
      </c>
      <c r="F168" s="197" t="s">
        <v>266</v>
      </c>
    </row>
    <row r="169" spans="1:6">
      <c r="A169" s="1"/>
    </row>
    <row r="170" spans="1:6">
      <c r="A170" s="1"/>
    </row>
    <row r="171" spans="1:6">
      <c r="A171" s="1"/>
    </row>
    <row r="172" spans="1:6">
      <c r="A172" s="1"/>
    </row>
    <row r="173" spans="1:6">
      <c r="A173" s="1"/>
      <c r="F173" s="1" t="s">
        <v>267</v>
      </c>
    </row>
    <row r="174" spans="1:6">
      <c r="A174" s="1"/>
      <c r="F174" s="1" t="s">
        <v>268</v>
      </c>
    </row>
    <row r="175" spans="1:6">
      <c r="A175" s="1"/>
      <c r="F175" s="1" t="s">
        <v>268</v>
      </c>
    </row>
    <row r="176" spans="1:6">
      <c r="A176" s="1"/>
      <c r="F176" s="1" t="s">
        <v>269</v>
      </c>
    </row>
    <row r="177" spans="1:6">
      <c r="A177" s="1"/>
      <c r="F177" s="1" t="s">
        <v>269</v>
      </c>
    </row>
    <row r="178" spans="1:6">
      <c r="A178" s="1"/>
      <c r="F178" s="1" t="s">
        <v>269</v>
      </c>
    </row>
    <row r="179" spans="1:6">
      <c r="A179" s="1"/>
    </row>
    <row r="180" spans="1:6">
      <c r="A180" s="1"/>
    </row>
    <row r="181" spans="1:6">
      <c r="A181" s="1"/>
    </row>
    <row r="182" spans="1:6">
      <c r="A182" s="1"/>
      <c r="B182" s="560" t="s">
        <v>270</v>
      </c>
    </row>
    <row r="183" spans="1:6">
      <c r="A183" s="1"/>
      <c r="B183" s="197" t="s">
        <v>271</v>
      </c>
      <c r="D183" s="1" t="s">
        <v>272</v>
      </c>
    </row>
    <row r="184" spans="1:6">
      <c r="A184" s="1"/>
      <c r="D184" s="1" t="s">
        <v>273</v>
      </c>
    </row>
    <row r="185" spans="1:6">
      <c r="A185" s="1"/>
      <c r="D185" s="1" t="s">
        <v>274</v>
      </c>
    </row>
    <row r="186" spans="1:6">
      <c r="A186" s="1"/>
    </row>
    <row r="187" spans="1:6">
      <c r="A187" s="1"/>
    </row>
    <row r="188" spans="1:6">
      <c r="A188" s="1"/>
    </row>
    <row r="189" spans="1:6">
      <c r="A189" s="1"/>
    </row>
    <row r="190" spans="1:6">
      <c r="A190" s="1"/>
    </row>
    <row r="191" spans="1:6">
      <c r="A191" s="1"/>
    </row>
    <row r="192" spans="1:6">
      <c r="A192" s="1"/>
    </row>
    <row r="193" spans="1:2">
      <c r="A193" s="1"/>
    </row>
    <row r="194" spans="1:2">
      <c r="A194" s="1"/>
    </row>
    <row r="195" spans="1:2">
      <c r="A195" s="1"/>
    </row>
    <row r="196" spans="1:2">
      <c r="A196" s="1"/>
    </row>
    <row r="197" spans="1:2">
      <c r="B197" s="197" t="s">
        <v>275</v>
      </c>
    </row>
    <row r="198" spans="1:2">
      <c r="B198" s="1" t="s">
        <v>276</v>
      </c>
    </row>
    <row r="199" spans="1:2">
      <c r="B199" s="1" t="s">
        <v>277</v>
      </c>
    </row>
    <row r="200" spans="1:2">
      <c r="B200" s="1" t="s">
        <v>278</v>
      </c>
    </row>
    <row r="201" spans="1:2">
      <c r="B201" s="1" t="s">
        <v>279</v>
      </c>
    </row>
    <row r="202" spans="1:2">
      <c r="B202" s="1" t="s">
        <v>280</v>
      </c>
    </row>
    <row r="204" spans="1:2">
      <c r="B204" s="197" t="s">
        <v>281</v>
      </c>
    </row>
    <row r="219" spans="2:2">
      <c r="B219" s="197" t="s">
        <v>282</v>
      </c>
    </row>
    <row r="220" spans="2:2">
      <c r="B220" s="1" t="s">
        <v>283</v>
      </c>
    </row>
    <row r="221" spans="2:2">
      <c r="B221" s="1" t="s">
        <v>284</v>
      </c>
    </row>
    <row r="222" spans="2:2">
      <c r="B222" s="1" t="s">
        <v>285</v>
      </c>
    </row>
    <row r="223" spans="2:2">
      <c r="B223" s="1" t="s">
        <v>286</v>
      </c>
    </row>
    <row r="225" spans="1:6" s="539" customFormat="1">
      <c r="A225" s="561"/>
    </row>
    <row r="226" spans="1:6" ht="18.600000000000001">
      <c r="B226" s="199" t="s">
        <v>287</v>
      </c>
      <c r="D226" s="562"/>
    </row>
    <row r="227" spans="1:6">
      <c r="B227" s="563" t="s">
        <v>288</v>
      </c>
    </row>
    <row r="228" spans="1:6">
      <c r="B228" s="1" t="s">
        <v>289</v>
      </c>
    </row>
    <row r="229" spans="1:6">
      <c r="B229" s="1" t="s">
        <v>290</v>
      </c>
    </row>
    <row r="231" spans="1:6">
      <c r="B231" s="563" t="s">
        <v>291</v>
      </c>
    </row>
    <row r="232" spans="1:6">
      <c r="B232" s="563" t="s">
        <v>292</v>
      </c>
    </row>
    <row r="233" spans="1:6">
      <c r="B233" s="1" t="s">
        <v>293</v>
      </c>
      <c r="E233" s="1" t="s">
        <v>294</v>
      </c>
    </row>
    <row r="234" spans="1:6">
      <c r="B234" s="1" t="s">
        <v>295</v>
      </c>
      <c r="E234" s="1" t="s">
        <v>296</v>
      </c>
    </row>
    <row r="235" spans="1:6">
      <c r="B235" s="1" t="s">
        <v>297</v>
      </c>
    </row>
    <row r="237" spans="1:6">
      <c r="B237" s="1" t="s">
        <v>298</v>
      </c>
    </row>
    <row r="238" spans="1:6">
      <c r="B238" s="547" t="s">
        <v>299</v>
      </c>
    </row>
    <row r="240" spans="1:6">
      <c r="B240" s="197" t="s">
        <v>300</v>
      </c>
      <c r="F240" s="1" t="s">
        <v>301</v>
      </c>
    </row>
    <row r="241" spans="2:9">
      <c r="B241" s="197" t="s">
        <v>302</v>
      </c>
      <c r="D241" s="1" t="s">
        <v>301</v>
      </c>
    </row>
    <row r="242" spans="2:9">
      <c r="B242" s="1" t="s">
        <v>303</v>
      </c>
    </row>
    <row r="244" spans="2:9">
      <c r="B244" s="197" t="s">
        <v>304</v>
      </c>
    </row>
    <row r="245" spans="2:9">
      <c r="B245" s="197" t="s">
        <v>305</v>
      </c>
    </row>
    <row r="246" spans="2:9">
      <c r="B246" s="1" t="s">
        <v>306</v>
      </c>
    </row>
    <row r="247" spans="2:9">
      <c r="B247" s="556" t="s">
        <v>307</v>
      </c>
    </row>
    <row r="248" spans="2:9">
      <c r="B248" s="1" t="s">
        <v>308</v>
      </c>
      <c r="C248" s="564">
        <f>8080/7818</f>
        <v>1.0335124072652853</v>
      </c>
      <c r="D248" s="1" t="s">
        <v>309</v>
      </c>
      <c r="I248" s="22"/>
    </row>
    <row r="249" spans="2:9">
      <c r="B249" s="1" t="s">
        <v>310</v>
      </c>
    </row>
    <row r="250" spans="2:9">
      <c r="B250" s="1" t="s">
        <v>311</v>
      </c>
    </row>
    <row r="251" spans="2:9">
      <c r="B251" s="1" t="s">
        <v>312</v>
      </c>
    </row>
    <row r="253" spans="2:9">
      <c r="B253" s="197" t="s">
        <v>313</v>
      </c>
    </row>
    <row r="255" spans="2:9">
      <c r="B255" s="1" t="s">
        <v>314</v>
      </c>
    </row>
    <row r="256" spans="2:9">
      <c r="B256" s="1" t="s">
        <v>315</v>
      </c>
    </row>
    <row r="257" spans="2:9">
      <c r="B257" s="197" t="s">
        <v>316</v>
      </c>
    </row>
    <row r="258" spans="2:9">
      <c r="B258" s="197" t="s">
        <v>317</v>
      </c>
    </row>
    <row r="259" spans="2:9">
      <c r="B259" s="197" t="s">
        <v>318</v>
      </c>
      <c r="I259" s="565" t="s">
        <v>319</v>
      </c>
    </row>
    <row r="262" spans="2:9">
      <c r="B262" s="197" t="s">
        <v>320</v>
      </c>
    </row>
    <row r="285" spans="2:2">
      <c r="B285" s="197" t="s">
        <v>321</v>
      </c>
    </row>
    <row r="286" spans="2:2">
      <c r="B286" s="1" t="s">
        <v>322</v>
      </c>
    </row>
  </sheetData>
  <sheetProtection algorithmName="SHA-512" hashValue="DEpb7+4Y3tEvSLMQsFwKp7TrjJoODd8xs3SSdwIael+jAX9wEsjc+5LZh2mxEyE11xzzX6SljfrrhzPSjHLHdg==" saltValue="sOEELOVRO0/KjYLw7mgmGQ==" spinCount="100000" sheet="1" objects="1" scenarios="1"/>
  <mergeCells count="1">
    <mergeCell ref="D80:H80"/>
  </mergeCells>
  <hyperlinks>
    <hyperlink ref="C4" r:id="rId1" display="https://www.azahcccs.gov/PlansProviders/Downloads/FFSrates/Transplant/TransplantRatesEffective10012024RateUpdates10012024BannerTusconAdultLiverAdultHeartsus12132024.xlsx" xr:uid="{513B51B2-C669-4424-9B85-6F4241364401}"/>
  </hyperlinks>
  <pageMargins left="0.7" right="0.7" top="0.75" bottom="0.75" header="0.3" footer="0.3"/>
  <pageSetup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29D3-5715-4283-800E-DF6F86FBBB2A}">
  <sheetPr codeName="Sheet30">
    <tabColor rgb="FF00CC00"/>
  </sheetPr>
  <dimension ref="A1:U661"/>
  <sheetViews>
    <sheetView zoomScale="90" zoomScaleNormal="90" workbookViewId="0">
      <pane xSplit="1" ySplit="3" topLeftCell="H4" activePane="bottomRight" state="frozen"/>
      <selection pane="bottomRight" activeCell="O10" sqref="O10"/>
      <selection pane="bottomLeft" activeCell="D14" sqref="D14"/>
      <selection pane="topRight" activeCell="D14" sqref="D14"/>
    </sheetView>
  </sheetViews>
  <sheetFormatPr defaultRowHeight="15.6"/>
  <cols>
    <col min="1" max="1" width="36.5" style="1" customWidth="1"/>
    <col min="2" max="2" width="7.875" style="1" customWidth="1"/>
    <col min="3" max="3" width="18.875" style="1" customWidth="1"/>
    <col min="4" max="4" width="11.625" style="4" customWidth="1"/>
    <col min="5" max="5" width="9.875" style="1" customWidth="1"/>
    <col min="6" max="6" width="11.625" style="1" customWidth="1"/>
    <col min="7" max="7" width="12.125" style="1" customWidth="1"/>
    <col min="8" max="8" width="7.875" style="1" customWidth="1"/>
    <col min="9" max="9" width="8.25" style="1" customWidth="1"/>
    <col min="10" max="10" width="7.375" style="27" hidden="1" customWidth="1"/>
    <col min="11" max="12" width="15" style="27" hidden="1" customWidth="1"/>
    <col min="13" max="13" width="16.875" style="27" hidden="1" customWidth="1"/>
    <col min="14" max="14" width="31.125" style="1" customWidth="1"/>
    <col min="15" max="15" width="17.125" style="1" customWidth="1"/>
    <col min="16" max="16" width="16.875" style="197" customWidth="1"/>
    <col min="17" max="17" width="28.25" style="14" customWidth="1"/>
    <col min="18" max="18" width="18" style="14" customWidth="1"/>
    <col min="19" max="19" width="18.875" style="1" customWidth="1"/>
    <col min="20" max="20" width="17.375" style="1" customWidth="1"/>
    <col min="21" max="21" width="8.625" style="1"/>
  </cols>
  <sheetData>
    <row r="1" spans="1:21">
      <c r="G1" s="2" t="s">
        <v>323</v>
      </c>
      <c r="H1" s="3">
        <v>1</v>
      </c>
      <c r="I1" s="3">
        <v>2</v>
      </c>
      <c r="J1" s="23">
        <v>3</v>
      </c>
      <c r="K1" s="23">
        <v>4</v>
      </c>
      <c r="L1" s="23">
        <v>5</v>
      </c>
      <c r="M1" s="23">
        <v>6</v>
      </c>
      <c r="N1" s="3">
        <v>7</v>
      </c>
      <c r="O1" s="3">
        <v>8</v>
      </c>
      <c r="P1" s="3">
        <v>9</v>
      </c>
      <c r="Q1" s="566" t="s">
        <v>324</v>
      </c>
      <c r="S1" s="16"/>
      <c r="T1" s="16"/>
    </row>
    <row r="2" spans="1:21" ht="35.1" customHeight="1">
      <c r="A2" s="8" t="s">
        <v>325</v>
      </c>
      <c r="B2" s="511">
        <f ca="1">SUMIF(B4:B661,1,B4:B661)</f>
        <v>2</v>
      </c>
      <c r="C2" s="193" t="s">
        <v>326</v>
      </c>
      <c r="D2" s="8" t="s">
        <v>325</v>
      </c>
      <c r="E2" s="8" t="s">
        <v>325</v>
      </c>
      <c r="F2" s="196">
        <v>1.0335000000000001</v>
      </c>
      <c r="G2" s="196">
        <v>1.0325</v>
      </c>
      <c r="H2" s="8"/>
      <c r="I2" s="8"/>
      <c r="J2" s="24" t="s">
        <v>327</v>
      </c>
      <c r="K2" s="24" t="s">
        <v>327</v>
      </c>
      <c r="L2" s="24" t="s">
        <v>327</v>
      </c>
      <c r="M2" s="24" t="s">
        <v>327</v>
      </c>
      <c r="N2" s="8" t="s">
        <v>325</v>
      </c>
      <c r="O2" s="8" t="s">
        <v>328</v>
      </c>
      <c r="P2" s="506" t="s">
        <v>329</v>
      </c>
      <c r="Q2" s="196">
        <v>1.1033999999999999</v>
      </c>
      <c r="S2" s="7"/>
      <c r="T2" s="7"/>
      <c r="U2" s="7"/>
    </row>
    <row r="3" spans="1:21" ht="34.5" customHeight="1">
      <c r="A3" s="10" t="s">
        <v>330</v>
      </c>
      <c r="B3" s="15" t="s">
        <v>331</v>
      </c>
      <c r="C3" s="10" t="s">
        <v>332</v>
      </c>
      <c r="D3" s="10" t="s">
        <v>333</v>
      </c>
      <c r="E3" s="10" t="s">
        <v>334</v>
      </c>
      <c r="F3" s="10" t="s">
        <v>335</v>
      </c>
      <c r="G3" s="10" t="s">
        <v>336</v>
      </c>
      <c r="H3" s="11" t="s">
        <v>337</v>
      </c>
      <c r="I3" s="11" t="s">
        <v>338</v>
      </c>
      <c r="J3" s="25" t="s">
        <v>339</v>
      </c>
      <c r="K3" s="25" t="s">
        <v>340</v>
      </c>
      <c r="L3" s="25" t="s">
        <v>341</v>
      </c>
      <c r="M3" s="25" t="s">
        <v>342</v>
      </c>
      <c r="N3" s="10" t="s">
        <v>343</v>
      </c>
      <c r="O3" s="10" t="s">
        <v>344</v>
      </c>
      <c r="P3" s="10" t="s">
        <v>345</v>
      </c>
      <c r="Q3" s="10" t="s">
        <v>346</v>
      </c>
      <c r="R3" s="10" t="s">
        <v>347</v>
      </c>
      <c r="S3" s="12" t="s">
        <v>348</v>
      </c>
      <c r="T3" s="12"/>
      <c r="U3" s="12"/>
    </row>
    <row r="4" spans="1:21">
      <c r="A4" s="1" t="e">
        <f ca="1">'2026_BannerMD_BMT_AUT_ADULT'!$A$1</f>
        <v>#VALUE!</v>
      </c>
      <c r="B4" s="14" t="e">
        <f ca="1">IF(A4=A3,0,1)</f>
        <v>#VALUE!</v>
      </c>
      <c r="C4" s="1" t="s">
        <v>349</v>
      </c>
      <c r="D4" s="4" t="e" cm="1">
        <f t="array" aca="1" ref="D4" ca="1">RIGHT(INDIRECT(ADDRESS(6,2,,,$A4)),6)</f>
        <v>#VALUE!</v>
      </c>
      <c r="E4" s="1" t="e" cm="1">
        <f t="array" aca="1" ref="E4" ca="1">RIGHT(INDIRECT(ADDRESS(4,2,,,$A4)),5)</f>
        <v>#VALUE!</v>
      </c>
      <c r="F4" s="22">
        <v>1.0335000000000001</v>
      </c>
      <c r="G4" s="22">
        <f>$G$2</f>
        <v>1.0325</v>
      </c>
      <c r="H4" s="7">
        <v>1</v>
      </c>
      <c r="I4" s="7">
        <v>3</v>
      </c>
      <c r="J4" s="26">
        <v>4</v>
      </c>
      <c r="K4" s="26">
        <v>10</v>
      </c>
      <c r="L4" s="26" t="s">
        <v>350</v>
      </c>
      <c r="M4" s="26" t="s">
        <v>351</v>
      </c>
      <c r="N4" s="13" t="str">
        <f>LEFT(INDEX('2026_BannerMD_BMT_AUT_ADULT'!$A$1:$E$30,MATCH(H4,'2026_BannerMD_BMT_AUT_ADULT'!$A$1:$A$30),MATCH(I4,'2026_BannerMD_BMT_AUT_ADULT'!$A$1:$D$1)),30)</f>
        <v>OUTPATIENT EVALUATION* - Initi</v>
      </c>
      <c r="O4" s="17">
        <v>6304</v>
      </c>
      <c r="P4" s="507">
        <f>ROUND(O4*$G$2,0)</f>
        <v>6509</v>
      </c>
      <c r="T4" s="17"/>
      <c r="U4" s="22"/>
    </row>
    <row r="5" spans="1:21">
      <c r="A5" s="1" t="e">
        <f ca="1">'2026_BannerMD_BMT_AUT_ADULT'!$A$1</f>
        <v>#VALUE!</v>
      </c>
      <c r="B5" s="14" t="e">
        <f t="shared" ref="B5:B68" ca="1" si="0">IF(A5=A4,0,1)</f>
        <v>#VALUE!</v>
      </c>
      <c r="C5" s="1" t="s">
        <v>349</v>
      </c>
      <c r="D5" s="4" t="e" cm="1">
        <f t="array" aca="1" ref="D5" ca="1">RIGHT(INDIRECT(ADDRESS(6,2,,,$A5)),6)</f>
        <v>#VALUE!</v>
      </c>
      <c r="E5" s="1" t="e" cm="1">
        <f t="array" aca="1" ref="E5" ca="1">RIGHT(INDIRECT(ADDRESS(4,2,,,$A5)),5)</f>
        <v>#VALUE!</v>
      </c>
      <c r="F5" s="22">
        <v>1.0335000000000001</v>
      </c>
      <c r="G5" s="22">
        <f t="shared" ref="G5:G68" si="1">$G$2</f>
        <v>1.0325</v>
      </c>
      <c r="H5" s="7">
        <v>2</v>
      </c>
      <c r="I5" s="7">
        <v>3</v>
      </c>
      <c r="J5" s="26">
        <v>4</v>
      </c>
      <c r="K5" s="26">
        <v>11</v>
      </c>
      <c r="L5" s="26" t="s">
        <v>350</v>
      </c>
      <c r="M5" s="26" t="s">
        <v>351</v>
      </c>
      <c r="N5" s="13" t="str">
        <f>LEFT(INDEX('2026_BannerMD_BMT_AUT_ADULT'!$A$1:$E$18,MATCH(H5,'2026_BannerMD_BMT_AUT_ADULT'!$A$1:$A$30),MATCH(I5,'2026_BannerMD_BMT_AUT_ADULT'!$A$1:$D$1)),30)</f>
        <v>AUTOLOGOUS HARVEST</v>
      </c>
      <c r="O5" s="17">
        <v>15603</v>
      </c>
      <c r="P5" s="507">
        <f t="shared" ref="P5:P9" si="2">ROUND(O5*$G$2,0)</f>
        <v>16110</v>
      </c>
      <c r="T5" s="17"/>
      <c r="U5" s="22"/>
    </row>
    <row r="6" spans="1:21">
      <c r="A6" s="1" t="e">
        <f ca="1">'2026_BannerMD_BMT_AUT_ADULT'!$A$1</f>
        <v>#VALUE!</v>
      </c>
      <c r="B6" s="14" t="e">
        <f t="shared" ca="1" si="0"/>
        <v>#VALUE!</v>
      </c>
      <c r="C6" s="1" t="s">
        <v>349</v>
      </c>
      <c r="D6" s="4" t="e" cm="1">
        <f t="array" aca="1" ref="D6" ca="1">RIGHT(INDIRECT(ADDRESS(6,2,,,$A6)),6)</f>
        <v>#VALUE!</v>
      </c>
      <c r="E6" s="1" t="e" cm="1">
        <f t="array" aca="1" ref="E6" ca="1">RIGHT(INDIRECT(ADDRESS(4,2,,,$A6)),5)</f>
        <v>#VALUE!</v>
      </c>
      <c r="F6" s="22">
        <v>1.0335000000000001</v>
      </c>
      <c r="G6" s="22">
        <f t="shared" si="1"/>
        <v>1.0325</v>
      </c>
      <c r="H6" s="7">
        <v>3</v>
      </c>
      <c r="I6" s="7">
        <v>3</v>
      </c>
      <c r="J6" s="26">
        <v>4</v>
      </c>
      <c r="K6" s="26">
        <v>12</v>
      </c>
      <c r="L6" s="26" t="s">
        <v>350</v>
      </c>
      <c r="M6" s="26" t="s">
        <v>351</v>
      </c>
      <c r="N6" s="13" t="str">
        <f>LEFT(INDEX('2026_BannerMD_BMT_AUT_ADULT'!$A$1:$E$18,MATCH(H6,'2026_BannerMD_BMT_AUT_ADULT'!$A$1:$A$30),MATCH(I6,'2026_BannerMD_BMT_AUT_ADULT'!$A$1:$D$1)),30)</f>
        <v>PREP AND TRANSPLANT</v>
      </c>
      <c r="O6" s="17">
        <v>117013</v>
      </c>
      <c r="P6" s="507">
        <f t="shared" si="2"/>
        <v>120816</v>
      </c>
      <c r="T6" s="17"/>
      <c r="U6" s="22"/>
    </row>
    <row r="7" spans="1:21">
      <c r="A7" s="1" t="e">
        <f ca="1">'2026_BannerMD_BMT_AUT_ADULT'!$A$1</f>
        <v>#VALUE!</v>
      </c>
      <c r="B7" s="14" t="e">
        <f t="shared" ca="1" si="0"/>
        <v>#VALUE!</v>
      </c>
      <c r="C7" s="1" t="s">
        <v>349</v>
      </c>
      <c r="D7" s="4" t="e" cm="1">
        <f t="array" aca="1" ref="D7" ca="1">RIGHT(INDIRECT(ADDRESS(6,2,,,$A7)),6)</f>
        <v>#VALUE!</v>
      </c>
      <c r="E7" s="1" t="e" cm="1">
        <f t="array" aca="1" ref="E7" ca="1">RIGHT(INDIRECT(ADDRESS(4,2,,,$A7)),5)</f>
        <v>#VALUE!</v>
      </c>
      <c r="F7" s="22">
        <v>1.0335000000000001</v>
      </c>
      <c r="G7" s="22">
        <f t="shared" si="1"/>
        <v>1.0325</v>
      </c>
      <c r="H7" s="7">
        <v>4</v>
      </c>
      <c r="I7" s="7">
        <v>3</v>
      </c>
      <c r="J7" s="26">
        <v>4</v>
      </c>
      <c r="K7" s="26"/>
      <c r="L7" s="26" t="s">
        <v>350</v>
      </c>
      <c r="M7" s="26" t="s">
        <v>351</v>
      </c>
      <c r="N7" s="13" t="str">
        <f>LEFT(INDEX('2026_BannerMD_BMT_AUT_ADULT'!$A$1:$E$18,MATCH(H7,'2026_BannerMD_BMT_AUT_ADULT'!$A$1:$A$30),MATCH(I7,'2026_BannerMD_BMT_AUT_ADULT'!$A$1:$D$1)),30)</f>
        <v>FOLLOW UP CARE - From day 1 po</v>
      </c>
      <c r="O7" s="17">
        <v>29644</v>
      </c>
      <c r="P7" s="507">
        <f t="shared" si="2"/>
        <v>30607</v>
      </c>
      <c r="T7" s="17"/>
      <c r="U7" s="22"/>
    </row>
    <row r="8" spans="1:21">
      <c r="A8" s="1" t="e">
        <f ca="1">'2026_BannerMD_BMT_AUT_ADULT'!$A$1</f>
        <v>#VALUE!</v>
      </c>
      <c r="B8" s="14" t="e">
        <f t="shared" ca="1" si="0"/>
        <v>#VALUE!</v>
      </c>
      <c r="C8" s="1" t="s">
        <v>349</v>
      </c>
      <c r="D8" s="4" t="e" cm="1">
        <f t="array" aca="1" ref="D8" ca="1">RIGHT(INDIRECT(ADDRESS(6,2,,,$A8)),6)</f>
        <v>#VALUE!</v>
      </c>
      <c r="E8" s="1" t="e" cm="1">
        <f t="array" aca="1" ref="E8" ca="1">RIGHT(INDIRECT(ADDRESS(4,2,,,$A8)),5)</f>
        <v>#VALUE!</v>
      </c>
      <c r="F8" s="22">
        <v>1.0335000000000001</v>
      </c>
      <c r="G8" s="22">
        <f t="shared" si="1"/>
        <v>1.0325</v>
      </c>
      <c r="H8" s="7">
        <v>5</v>
      </c>
      <c r="I8" s="7">
        <v>3</v>
      </c>
      <c r="J8" s="26">
        <v>4</v>
      </c>
      <c r="K8" s="26"/>
      <c r="L8" s="26" t="s">
        <v>350</v>
      </c>
      <c r="M8" s="26" t="s">
        <v>351</v>
      </c>
      <c r="N8" s="13" t="str">
        <f>LEFT(INDEX('2026_BannerMD_BMT_AUT_ADULT'!$A$1:$E$18,MATCH(H8,'2026_BannerMD_BMT_AUT_ADULT'!$A$1:$A$30),MATCH(I8,'2026_BannerMD_BMT_AUT_ADULT'!$A$1:$D$1)),30)</f>
        <v xml:space="preserve">FOLLOW UP CARE - From day 31  </v>
      </c>
      <c r="O8" s="17">
        <v>10922</v>
      </c>
      <c r="P8" s="507">
        <f t="shared" si="2"/>
        <v>11277</v>
      </c>
      <c r="T8" s="17"/>
      <c r="U8" s="22"/>
    </row>
    <row r="9" spans="1:21">
      <c r="A9" s="1" t="e">
        <f ca="1">'2026_BannerMD_BMT_AUT_ADULT'!$A$1</f>
        <v>#VALUE!</v>
      </c>
      <c r="B9" s="14" t="e">
        <f t="shared" ca="1" si="0"/>
        <v>#VALUE!</v>
      </c>
      <c r="C9" s="1" t="s">
        <v>349</v>
      </c>
      <c r="D9" s="4" t="e" cm="1">
        <f t="array" aca="1" ref="D9" ca="1">RIGHT(INDIRECT(ADDRESS(6,2,,,$A9)),6)</f>
        <v>#VALUE!</v>
      </c>
      <c r="E9" s="1" t="e" cm="1">
        <f t="array" aca="1" ref="E9" ca="1">RIGHT(INDIRECT(ADDRESS(4,2,,,$A9)),5)</f>
        <v>#VALUE!</v>
      </c>
      <c r="F9" s="22">
        <v>1.0335000000000001</v>
      </c>
      <c r="G9" s="22">
        <f t="shared" si="1"/>
        <v>1.0325</v>
      </c>
      <c r="H9" s="7">
        <v>6</v>
      </c>
      <c r="I9" s="7">
        <v>3</v>
      </c>
      <c r="J9" s="26">
        <v>4</v>
      </c>
      <c r="K9" s="26"/>
      <c r="L9" s="26" t="s">
        <v>350</v>
      </c>
      <c r="M9" s="26" t="s">
        <v>351</v>
      </c>
      <c r="N9" s="13" t="str">
        <f>LEFT(INDEX('2026_BannerMD_BMT_AUT_ADULT'!$A$1:$E$18,MATCH(H9,'2026_BannerMD_BMT_AUT_ADULT'!$A$1:$A$30),MATCH(I9,'2026_BannerMD_BMT_AUT_ADULT'!$A$1:$D$1)),30)</f>
        <v xml:space="preserve">PER DIEM RATES for day 61+ of </v>
      </c>
      <c r="O9" s="17">
        <v>2474</v>
      </c>
      <c r="P9" s="507">
        <f t="shared" si="2"/>
        <v>2554</v>
      </c>
      <c r="T9" s="17"/>
      <c r="U9" s="22"/>
    </row>
    <row r="10" spans="1:21">
      <c r="A10" s="1" t="e">
        <f ca="1">'2026_BannerMD_BMT_AUT_ADULT'!$A$1</f>
        <v>#VALUE!</v>
      </c>
      <c r="B10" s="14" t="e">
        <f t="shared" ca="1" si="0"/>
        <v>#VALUE!</v>
      </c>
      <c r="C10" s="1" t="s">
        <v>349</v>
      </c>
      <c r="D10" s="4" t="e" cm="1">
        <f t="array" aca="1" ref="D10" ca="1">RIGHT(INDIRECT(ADDRESS(6,2,,,$A10)),6)</f>
        <v>#VALUE!</v>
      </c>
      <c r="E10" s="1" t="e" cm="1">
        <f t="array" aca="1" ref="E10" ca="1">RIGHT(INDIRECT(ADDRESS(4,2,,,$A10)),5)</f>
        <v>#VALUE!</v>
      </c>
      <c r="F10" s="22">
        <v>1.0335000000000001</v>
      </c>
      <c r="G10" s="22">
        <f t="shared" si="1"/>
        <v>1.0325</v>
      </c>
      <c r="H10" s="7">
        <v>7</v>
      </c>
      <c r="I10" s="7">
        <v>3</v>
      </c>
      <c r="J10" s="26">
        <v>4</v>
      </c>
      <c r="K10" s="26"/>
      <c r="L10" s="26" t="s">
        <v>350</v>
      </c>
      <c r="M10" s="26" t="s">
        <v>351</v>
      </c>
      <c r="N10" s="9" t="str">
        <f>LEFT(INDEX('2026_BannerMD_BMT_AUT_ADULT'!$A$1:$E$18,MATCH(H10,'2026_BannerMD_BMT_AUT_ADULT'!$A$1:$A$30),MATCH(I10,'2026_BannerMD_BMT_AUT_ADULT'!$A$1:$D$1)),30)</f>
        <v>Days 11+/61+ paid at the per d</v>
      </c>
      <c r="O10" s="18">
        <v>7263.18</v>
      </c>
      <c r="P10" s="509">
        <f>O10*$Q$2</f>
        <v>8014.1928120000002</v>
      </c>
      <c r="Q10" s="14" t="s">
        <v>352</v>
      </c>
      <c r="T10" s="18"/>
      <c r="U10" s="22"/>
    </row>
    <row r="11" spans="1:21">
      <c r="A11" s="1" t="e">
        <f ca="1">'2026_BannerMD_BMT_ALLO_RELA'!$A$1</f>
        <v>#VALUE!</v>
      </c>
      <c r="B11" s="14" t="e">
        <f t="shared" ca="1" si="0"/>
        <v>#VALUE!</v>
      </c>
      <c r="C11" s="1" t="s">
        <v>349</v>
      </c>
      <c r="D11" s="4" t="e" cm="1">
        <f t="array" aca="1" ref="D11" ca="1">RIGHT(INDIRECT(ADDRESS(6,2,,,$A11)),6)</f>
        <v>#VALUE!</v>
      </c>
      <c r="E11" s="1" t="e" cm="1">
        <f t="array" aca="1" ref="E11" ca="1">RIGHT(INDIRECT(ADDRESS(4,2,,,$A11)),5)</f>
        <v>#VALUE!</v>
      </c>
      <c r="F11" s="22">
        <v>1.0335000000000001</v>
      </c>
      <c r="G11" s="22">
        <f t="shared" si="1"/>
        <v>1.0325</v>
      </c>
      <c r="H11" s="7">
        <v>1</v>
      </c>
      <c r="I11" s="7">
        <v>3</v>
      </c>
      <c r="J11" s="26">
        <v>4</v>
      </c>
      <c r="K11" s="26"/>
      <c r="L11" s="26" t="s">
        <v>350</v>
      </c>
      <c r="M11" s="26" t="s">
        <v>351</v>
      </c>
      <c r="N11" s="13" t="str">
        <f>LEFT(INDEX('2026_BannerMD_BMT_ALLO_RELA'!$A$1:$E$30,MATCH(H11,'2026_BannerMD_BMT_ALLO_RELA'!$A$1:$A$30),MATCH(I11,'2026_BannerMD_BMT_ALLO_RELA'!$A$1:$D$1)),30)</f>
        <v>OUTPATIENT EVALUATION* - Initi</v>
      </c>
      <c r="O11" s="17">
        <v>4486</v>
      </c>
      <c r="P11" s="507">
        <f t="shared" ref="P11:P17" si="3">ROUND(O11*$G$2,0)</f>
        <v>4632</v>
      </c>
    </row>
    <row r="12" spans="1:21">
      <c r="A12" s="1" t="e">
        <f ca="1">'2026_BannerMD_BMT_ALLO_RELA'!$A$1</f>
        <v>#VALUE!</v>
      </c>
      <c r="B12" s="14" t="e">
        <f t="shared" ca="1" si="0"/>
        <v>#VALUE!</v>
      </c>
      <c r="C12" s="1" t="s">
        <v>349</v>
      </c>
      <c r="D12" s="4" t="e" cm="1">
        <f t="array" aca="1" ref="D12" ca="1">RIGHT(INDIRECT(ADDRESS(6,2,,,$A12)),6)</f>
        <v>#VALUE!</v>
      </c>
      <c r="E12" s="1" t="e" cm="1">
        <f t="array" aca="1" ref="E12" ca="1">RIGHT(INDIRECT(ADDRESS(4,2,,,$A12)),5)</f>
        <v>#VALUE!</v>
      </c>
      <c r="F12" s="22">
        <v>1.0335000000000001</v>
      </c>
      <c r="G12" s="22">
        <f t="shared" si="1"/>
        <v>1.0325</v>
      </c>
      <c r="H12" s="7">
        <v>2</v>
      </c>
      <c r="I12" s="7">
        <v>3</v>
      </c>
      <c r="J12" s="26">
        <v>4</v>
      </c>
      <c r="K12" s="26"/>
      <c r="L12" s="26" t="s">
        <v>350</v>
      </c>
      <c r="M12" s="26" t="s">
        <v>351</v>
      </c>
      <c r="N12" s="13" t="str">
        <f>LEFT(INDEX('2026_BannerMD_BMT_ALLO_RELA'!$A$1:$E$30,MATCH(H12,'2026_BannerMD_BMT_ALLO_RELA'!$A$1:$A$30),MATCH(I12,'2026_BannerMD_BMT_ALLO_RELA'!$A$1:$D$1)),30)</f>
        <v>RELATED DONOR SEARCH*(only 1 d</v>
      </c>
      <c r="O12" s="17">
        <v>6931</v>
      </c>
      <c r="P12" s="507">
        <f t="shared" si="3"/>
        <v>7156</v>
      </c>
    </row>
    <row r="13" spans="1:21">
      <c r="A13" s="1" t="e">
        <f ca="1">'2026_BannerMD_BMT_ALLO_RELA'!$A$1</f>
        <v>#VALUE!</v>
      </c>
      <c r="B13" s="14" t="e">
        <f t="shared" ca="1" si="0"/>
        <v>#VALUE!</v>
      </c>
      <c r="C13" s="1" t="s">
        <v>349</v>
      </c>
      <c r="D13" s="4" t="e" cm="1">
        <f t="array" aca="1" ref="D13" ca="1">RIGHT(INDIRECT(ADDRESS(6,2,,,$A13)),6)</f>
        <v>#VALUE!</v>
      </c>
      <c r="E13" s="1" t="e" cm="1">
        <f t="array" aca="1" ref="E13" ca="1">RIGHT(INDIRECT(ADDRESS(4,2,,,$A13)),5)</f>
        <v>#VALUE!</v>
      </c>
      <c r="F13" s="22">
        <v>1.0335000000000001</v>
      </c>
      <c r="G13" s="22">
        <f t="shared" si="1"/>
        <v>1.0325</v>
      </c>
      <c r="H13" s="7">
        <v>3</v>
      </c>
      <c r="I13" s="7">
        <v>3</v>
      </c>
      <c r="J13" s="26">
        <v>4</v>
      </c>
      <c r="K13" s="26"/>
      <c r="L13" s="26" t="s">
        <v>350</v>
      </c>
      <c r="M13" s="26" t="s">
        <v>351</v>
      </c>
      <c r="N13" s="13" t="str">
        <f>LEFT(INDEX('2026_BannerMD_BMT_ALLO_RELA'!$A$1:$E$30,MATCH(H13,'2026_BannerMD_BMT_ALLO_RELA'!$A$1:$A$30),MATCH(I13,'2026_BannerMD_BMT_ALLO_RELA'!$A$1:$D$1)),30)</f>
        <v>RELATED DONOR HARVEST</v>
      </c>
      <c r="O13" s="17">
        <v>11475</v>
      </c>
      <c r="P13" s="507">
        <f t="shared" si="3"/>
        <v>11848</v>
      </c>
    </row>
    <row r="14" spans="1:21">
      <c r="A14" s="1" t="e">
        <f ca="1">'2026_BannerMD_BMT_ALLO_RELA'!$A$1</f>
        <v>#VALUE!</v>
      </c>
      <c r="B14" s="14" t="e">
        <f t="shared" ca="1" si="0"/>
        <v>#VALUE!</v>
      </c>
      <c r="C14" s="1" t="s">
        <v>349</v>
      </c>
      <c r="D14" s="4" t="e" cm="1">
        <f t="array" aca="1" ref="D14" ca="1">RIGHT(INDIRECT(ADDRESS(6,2,,,$A14)),6)</f>
        <v>#VALUE!</v>
      </c>
      <c r="E14" s="1" t="e" cm="1">
        <f t="array" aca="1" ref="E14" ca="1">RIGHT(INDIRECT(ADDRESS(4,2,,,$A14)),5)</f>
        <v>#VALUE!</v>
      </c>
      <c r="F14" s="22">
        <v>1.0335000000000001</v>
      </c>
      <c r="G14" s="22">
        <f t="shared" si="1"/>
        <v>1.0325</v>
      </c>
      <c r="H14" s="7">
        <v>4</v>
      </c>
      <c r="I14" s="7">
        <v>3</v>
      </c>
      <c r="J14" s="26">
        <v>4</v>
      </c>
      <c r="K14" s="26"/>
      <c r="L14" s="26" t="s">
        <v>350</v>
      </c>
      <c r="M14" s="26" t="s">
        <v>351</v>
      </c>
      <c r="N14" s="13" t="str">
        <f>LEFT(INDEX('2026_BannerMD_BMT_ALLO_RELA'!$A$1:$E$30,MATCH(H14,'2026_BannerMD_BMT_ALLO_RELA'!$A$1:$A$30),MATCH(I14,'2026_BannerMD_BMT_ALLO_RELA'!$A$1:$D$1)),30)</f>
        <v>PREP AND TRANSPLANT</v>
      </c>
      <c r="O14" s="17">
        <v>107724</v>
      </c>
      <c r="P14" s="507">
        <f t="shared" si="3"/>
        <v>111225</v>
      </c>
    </row>
    <row r="15" spans="1:21">
      <c r="A15" s="1" t="e">
        <f ca="1">'2026_BannerMD_BMT_ALLO_RELA'!$A$1</f>
        <v>#VALUE!</v>
      </c>
      <c r="B15" s="14" t="e">
        <f t="shared" ca="1" si="0"/>
        <v>#VALUE!</v>
      </c>
      <c r="C15" s="1" t="s">
        <v>349</v>
      </c>
      <c r="D15" s="4" t="e" cm="1">
        <f t="array" aca="1" ref="D15" ca="1">RIGHT(INDIRECT(ADDRESS(6,2,,,$A15)),6)</f>
        <v>#VALUE!</v>
      </c>
      <c r="E15" s="1" t="e" cm="1">
        <f t="array" aca="1" ref="E15" ca="1">RIGHT(INDIRECT(ADDRESS(4,2,,,$A15)),5)</f>
        <v>#VALUE!</v>
      </c>
      <c r="F15" s="22">
        <v>1.0335000000000001</v>
      </c>
      <c r="G15" s="22">
        <f t="shared" si="1"/>
        <v>1.0325</v>
      </c>
      <c r="H15" s="7">
        <v>5</v>
      </c>
      <c r="I15" s="7">
        <v>3</v>
      </c>
      <c r="J15" s="26">
        <v>4</v>
      </c>
      <c r="K15" s="26"/>
      <c r="L15" s="26" t="s">
        <v>350</v>
      </c>
      <c r="M15" s="26" t="s">
        <v>351</v>
      </c>
      <c r="N15" s="13" t="str">
        <f>LEFT(INDEX('2026_BannerMD_BMT_ALLO_RELA'!$A$1:$E$30,MATCH(H15,'2026_BannerMD_BMT_ALLO_RELA'!$A$1:$A$30),MATCH(I15,'2026_BannerMD_BMT_ALLO_RELA'!$A$1:$D$1)),30)</f>
        <v>FOLLOW UP CARE - From day 1 po</v>
      </c>
      <c r="O15" s="17">
        <v>47378</v>
      </c>
      <c r="P15" s="507">
        <f t="shared" si="3"/>
        <v>48918</v>
      </c>
    </row>
    <row r="16" spans="1:21">
      <c r="A16" s="1" t="e">
        <f ca="1">'2026_BannerMD_BMT_ALLO_RELA'!$A$1</f>
        <v>#VALUE!</v>
      </c>
      <c r="B16" s="14" t="e">
        <f t="shared" ca="1" si="0"/>
        <v>#VALUE!</v>
      </c>
      <c r="C16" s="1" t="s">
        <v>349</v>
      </c>
      <c r="D16" s="4" t="e" cm="1">
        <f t="array" aca="1" ref="D16" ca="1">RIGHT(INDIRECT(ADDRESS(6,2,,,$A16)),6)</f>
        <v>#VALUE!</v>
      </c>
      <c r="E16" s="1" t="e" cm="1">
        <f t="array" aca="1" ref="E16" ca="1">RIGHT(INDIRECT(ADDRESS(4,2,,,$A16)),5)</f>
        <v>#VALUE!</v>
      </c>
      <c r="F16" s="22">
        <v>1.0335000000000001</v>
      </c>
      <c r="G16" s="22">
        <f t="shared" si="1"/>
        <v>1.0325</v>
      </c>
      <c r="H16" s="7">
        <v>6</v>
      </c>
      <c r="I16" s="7">
        <v>3</v>
      </c>
      <c r="J16" s="26">
        <v>4</v>
      </c>
      <c r="K16" s="26"/>
      <c r="L16" s="26" t="s">
        <v>350</v>
      </c>
      <c r="M16" s="26" t="s">
        <v>351</v>
      </c>
      <c r="N16" s="13" t="str">
        <f>LEFT(INDEX('2026_BannerMD_BMT_ALLO_RELA'!$A$1:$E$30,MATCH(H16,'2026_BannerMD_BMT_ALLO_RELA'!$A$1:$A$30),MATCH(I16,'2026_BannerMD_BMT_ALLO_RELA'!$A$1:$D$1)),30)</f>
        <v xml:space="preserve">FOLLOW UP CARE - From day 31  </v>
      </c>
      <c r="O16" s="17">
        <v>14030</v>
      </c>
      <c r="P16" s="507">
        <f t="shared" si="3"/>
        <v>14486</v>
      </c>
    </row>
    <row r="17" spans="1:17">
      <c r="A17" s="1" t="e">
        <f ca="1">'2026_BannerMD_BMT_ALLO_RELA'!$A$1</f>
        <v>#VALUE!</v>
      </c>
      <c r="B17" s="14" t="e">
        <f t="shared" ca="1" si="0"/>
        <v>#VALUE!</v>
      </c>
      <c r="C17" s="1" t="s">
        <v>349</v>
      </c>
      <c r="D17" s="4" t="e" cm="1">
        <f t="array" aca="1" ref="D17" ca="1">RIGHT(INDIRECT(ADDRESS(6,2,,,$A17)),6)</f>
        <v>#VALUE!</v>
      </c>
      <c r="E17" s="1" t="e" cm="1">
        <f t="array" aca="1" ref="E17" ca="1">RIGHT(INDIRECT(ADDRESS(4,2,,,$A17)),5)</f>
        <v>#VALUE!</v>
      </c>
      <c r="F17" s="22">
        <v>1.0335000000000001</v>
      </c>
      <c r="G17" s="22">
        <f t="shared" si="1"/>
        <v>1.0325</v>
      </c>
      <c r="H17" s="7">
        <v>7</v>
      </c>
      <c r="I17" s="7">
        <v>3</v>
      </c>
      <c r="J17" s="26">
        <v>4</v>
      </c>
      <c r="K17" s="26"/>
      <c r="L17" s="26" t="s">
        <v>350</v>
      </c>
      <c r="M17" s="26" t="s">
        <v>351</v>
      </c>
      <c r="N17" s="13" t="str">
        <f>LEFT(INDEX('2026_BannerMD_BMT_ALLO_RELA'!$A$1:$E$30,MATCH(H17,'2026_BannerMD_BMT_ALLO_RELA'!$A$1:$A$30),MATCH(I17,'2026_BannerMD_BMT_ALLO_RELA'!$A$1:$D$1)),30)</f>
        <v xml:space="preserve">PER DIEM RATES for day 61+ of </v>
      </c>
      <c r="O17" s="17">
        <v>2474</v>
      </c>
      <c r="P17" s="507">
        <f t="shared" si="3"/>
        <v>2554</v>
      </c>
    </row>
    <row r="18" spans="1:17">
      <c r="A18" s="1" t="e">
        <f ca="1">'2026_BannerMD_BMT_ALLO_RELA'!$A$1</f>
        <v>#VALUE!</v>
      </c>
      <c r="B18" s="14" t="e">
        <f t="shared" ca="1" si="0"/>
        <v>#VALUE!</v>
      </c>
      <c r="C18" s="1" t="s">
        <v>349</v>
      </c>
      <c r="D18" s="4" t="e" cm="1">
        <f t="array" aca="1" ref="D18" ca="1">RIGHT(INDIRECT(ADDRESS(6,2,,,$A18)),6)</f>
        <v>#VALUE!</v>
      </c>
      <c r="E18" s="1" t="e" cm="1">
        <f t="array" aca="1" ref="E18" ca="1">RIGHT(INDIRECT(ADDRESS(4,2,,,$A18)),5)</f>
        <v>#VALUE!</v>
      </c>
      <c r="F18" s="22">
        <v>1.0335000000000001</v>
      </c>
      <c r="G18" s="22">
        <f t="shared" si="1"/>
        <v>1.0325</v>
      </c>
      <c r="H18" s="7">
        <v>8</v>
      </c>
      <c r="I18" s="7">
        <v>3</v>
      </c>
      <c r="J18" s="26">
        <v>4</v>
      </c>
      <c r="K18" s="26"/>
      <c r="L18" s="26" t="s">
        <v>350</v>
      </c>
      <c r="M18" s="26" t="s">
        <v>351</v>
      </c>
      <c r="N18" s="9" t="str">
        <f>LEFT(INDEX('2026_BannerMD_BMT_ALLO_RELA'!$A$1:$E$30,MATCH(H18,'2026_BannerMD_BMT_ALLO_RELA'!$A$1:$A$30),MATCH(I18,'2026_BannerMD_BMT_ALLO_RELA'!$A$1:$D$1)),30)</f>
        <v>Days 11+/61+ paid at the per d</v>
      </c>
      <c r="O18" s="18">
        <v>7263.18</v>
      </c>
      <c r="P18" s="509">
        <f>O18*$Q$2</f>
        <v>8014.1928120000002</v>
      </c>
      <c r="Q18" s="14" t="s">
        <v>352</v>
      </c>
    </row>
    <row r="19" spans="1:17">
      <c r="A19" s="1" t="e">
        <f ca="1">'2026_BannerMD_BMT_HAPLOID'!$A$1</f>
        <v>#VALUE!</v>
      </c>
      <c r="B19" s="14" t="e">
        <f t="shared" ca="1" si="0"/>
        <v>#VALUE!</v>
      </c>
      <c r="C19" s="1" t="s">
        <v>349</v>
      </c>
      <c r="D19" s="4" t="e" cm="1">
        <f t="array" aca="1" ref="D19" ca="1">RIGHT(INDIRECT(ADDRESS(6,2,,,$A19)),6)</f>
        <v>#VALUE!</v>
      </c>
      <c r="E19" s="1" t="e" cm="1">
        <f t="array" aca="1" ref="E19" ca="1">RIGHT(INDIRECT(ADDRESS(4,2,,,$A19)),5)</f>
        <v>#VALUE!</v>
      </c>
      <c r="F19" s="22">
        <v>1.0335000000000001</v>
      </c>
      <c r="G19" s="22">
        <f t="shared" si="1"/>
        <v>1.0325</v>
      </c>
      <c r="H19" s="7">
        <v>1</v>
      </c>
      <c r="I19" s="7">
        <v>3</v>
      </c>
      <c r="J19" s="26">
        <v>4</v>
      </c>
      <c r="K19" s="26"/>
      <c r="L19" s="26" t="s">
        <v>350</v>
      </c>
      <c r="M19" s="26" t="s">
        <v>351</v>
      </c>
      <c r="N19" s="13" t="str">
        <f>LEFT(INDEX('2026_BannerMD_BMT_HAPLOID'!$A$1:$E$30,MATCH(H19,'2026_BannerMD_BMT_HAPLOID'!$A$1:$A$30),MATCH(I19,'2026_BannerMD_BMT_HAPLOID'!$A$1:$D$1)),30)</f>
        <v>OUTPATIENT EVALUATION* - Initi</v>
      </c>
      <c r="O19" s="17">
        <v>6636</v>
      </c>
      <c r="P19" s="507">
        <f t="shared" ref="P19:P25" si="4">ROUND(O19*$G$2,0)</f>
        <v>6852</v>
      </c>
    </row>
    <row r="20" spans="1:17">
      <c r="A20" s="1" t="e">
        <f ca="1">'2026_BannerMD_BMT_HAPLOID'!$A$1</f>
        <v>#VALUE!</v>
      </c>
      <c r="B20" s="14" t="e">
        <f t="shared" ca="1" si="0"/>
        <v>#VALUE!</v>
      </c>
      <c r="C20" s="1" t="s">
        <v>349</v>
      </c>
      <c r="D20" s="4" t="e" cm="1">
        <f t="array" aca="1" ref="D20" ca="1">RIGHT(INDIRECT(ADDRESS(6,2,,,$A20)),6)</f>
        <v>#VALUE!</v>
      </c>
      <c r="E20" s="1" t="e" cm="1">
        <f t="array" aca="1" ref="E20" ca="1">RIGHT(INDIRECT(ADDRESS(4,2,,,$A20)),5)</f>
        <v>#VALUE!</v>
      </c>
      <c r="F20" s="22">
        <v>1.0335000000000001</v>
      </c>
      <c r="G20" s="22">
        <f t="shared" si="1"/>
        <v>1.0325</v>
      </c>
      <c r="H20" s="7">
        <v>2</v>
      </c>
      <c r="I20" s="7">
        <v>3</v>
      </c>
      <c r="J20" s="26">
        <v>4</v>
      </c>
      <c r="K20" s="26"/>
      <c r="L20" s="26" t="s">
        <v>350</v>
      </c>
      <c r="M20" s="26" t="s">
        <v>351</v>
      </c>
      <c r="N20" s="13" t="str">
        <f>LEFT(INDEX('2026_BannerMD_BMT_HAPLOID'!$A$1:$E$30,MATCH(H20,'2026_BannerMD_BMT_HAPLOID'!$A$1:$A$30),MATCH(I20,'2026_BannerMD_BMT_HAPLOID'!$A$1:$D$1)),30)</f>
        <v>DONOR SEARCH* (only 1 donor se</v>
      </c>
      <c r="O20" s="17">
        <v>11713</v>
      </c>
      <c r="P20" s="507">
        <f t="shared" si="4"/>
        <v>12094</v>
      </c>
    </row>
    <row r="21" spans="1:17">
      <c r="A21" s="1" t="e">
        <f ca="1">'2026_BannerMD_BMT_HAPLOID'!$A$1</f>
        <v>#VALUE!</v>
      </c>
      <c r="B21" s="14" t="e">
        <f t="shared" ca="1" si="0"/>
        <v>#VALUE!</v>
      </c>
      <c r="C21" s="1" t="s">
        <v>349</v>
      </c>
      <c r="D21" s="4" t="e" cm="1">
        <f t="array" aca="1" ref="D21" ca="1">RIGHT(INDIRECT(ADDRESS(6,2,,,$A21)),6)</f>
        <v>#VALUE!</v>
      </c>
      <c r="E21" s="1" t="e" cm="1">
        <f t="array" aca="1" ref="E21" ca="1">RIGHT(INDIRECT(ADDRESS(4,2,,,$A21)),5)</f>
        <v>#VALUE!</v>
      </c>
      <c r="F21" s="22">
        <v>1.0335000000000001</v>
      </c>
      <c r="G21" s="22">
        <f t="shared" si="1"/>
        <v>1.0325</v>
      </c>
      <c r="H21" s="7">
        <v>3</v>
      </c>
      <c r="I21" s="7">
        <v>3</v>
      </c>
      <c r="J21" s="26">
        <v>4</v>
      </c>
      <c r="K21" s="26"/>
      <c r="L21" s="26" t="s">
        <v>350</v>
      </c>
      <c r="M21" s="26" t="s">
        <v>351</v>
      </c>
      <c r="N21" s="13" t="str">
        <f>LEFT(INDEX('2026_BannerMD_BMT_HAPLOID'!$A$1:$E$30,MATCH(H21,'2026_BannerMD_BMT_HAPLOID'!$A$1:$A$30),MATCH(I21,'2026_BannerMD_BMT_HAPLOID'!$A$1:$D$1)),30)</f>
        <v>DONOR HARVEST (includes stem c</v>
      </c>
      <c r="O21" s="17">
        <v>17639</v>
      </c>
      <c r="P21" s="507">
        <f t="shared" si="4"/>
        <v>18212</v>
      </c>
    </row>
    <row r="22" spans="1:17">
      <c r="A22" s="1" t="e">
        <f ca="1">'2026_BannerMD_BMT_HAPLOID'!$A$1</f>
        <v>#VALUE!</v>
      </c>
      <c r="B22" s="14" t="e">
        <f t="shared" ca="1" si="0"/>
        <v>#VALUE!</v>
      </c>
      <c r="C22" s="1" t="s">
        <v>349</v>
      </c>
      <c r="D22" s="4" t="e" cm="1">
        <f t="array" aca="1" ref="D22" ca="1">RIGHT(INDIRECT(ADDRESS(6,2,,,$A22)),6)</f>
        <v>#VALUE!</v>
      </c>
      <c r="E22" s="1" t="e" cm="1">
        <f t="array" aca="1" ref="E22" ca="1">RIGHT(INDIRECT(ADDRESS(4,2,,,$A22)),5)</f>
        <v>#VALUE!</v>
      </c>
      <c r="F22" s="22">
        <v>1.0335000000000001</v>
      </c>
      <c r="G22" s="22">
        <f t="shared" si="1"/>
        <v>1.0325</v>
      </c>
      <c r="H22" s="7">
        <v>4</v>
      </c>
      <c r="I22" s="7">
        <v>3</v>
      </c>
      <c r="J22" s="26">
        <v>4</v>
      </c>
      <c r="K22" s="26"/>
      <c r="L22" s="26" t="s">
        <v>350</v>
      </c>
      <c r="M22" s="26" t="s">
        <v>351</v>
      </c>
      <c r="N22" s="13" t="str">
        <f>LEFT(INDEX('2026_BannerMD_BMT_HAPLOID'!$A$1:$E$30,MATCH(H22,'2026_BannerMD_BMT_HAPLOID'!$A$1:$A$30),MATCH(I22,'2026_BannerMD_BMT_HAPLOID'!$A$1:$D$1)),30)</f>
        <v>PREP AND TRANSPLANT</v>
      </c>
      <c r="O22" s="17">
        <v>63808</v>
      </c>
      <c r="P22" s="507">
        <f t="shared" si="4"/>
        <v>65882</v>
      </c>
    </row>
    <row r="23" spans="1:17">
      <c r="A23" s="1" t="e">
        <f ca="1">'2026_BannerMD_BMT_HAPLOID'!$A$1</f>
        <v>#VALUE!</v>
      </c>
      <c r="B23" s="14" t="e">
        <f t="shared" ca="1" si="0"/>
        <v>#VALUE!</v>
      </c>
      <c r="C23" s="1" t="s">
        <v>349</v>
      </c>
      <c r="D23" s="4" t="e" cm="1">
        <f t="array" aca="1" ref="D23" ca="1">RIGHT(INDIRECT(ADDRESS(6,2,,,$A23)),6)</f>
        <v>#VALUE!</v>
      </c>
      <c r="E23" s="1" t="e" cm="1">
        <f t="array" aca="1" ref="E23" ca="1">RIGHT(INDIRECT(ADDRESS(4,2,,,$A23)),5)</f>
        <v>#VALUE!</v>
      </c>
      <c r="F23" s="22">
        <v>1.0335000000000001</v>
      </c>
      <c r="G23" s="22">
        <f t="shared" si="1"/>
        <v>1.0325</v>
      </c>
      <c r="H23" s="7">
        <v>5</v>
      </c>
      <c r="I23" s="7">
        <v>3</v>
      </c>
      <c r="J23" s="26">
        <v>4</v>
      </c>
      <c r="K23" s="26"/>
      <c r="L23" s="26" t="s">
        <v>350</v>
      </c>
      <c r="M23" s="26" t="s">
        <v>351</v>
      </c>
      <c r="N23" s="13" t="str">
        <f>LEFT(INDEX('2026_BannerMD_BMT_HAPLOID'!$A$1:$E$30,MATCH(H23,'2026_BannerMD_BMT_HAPLOID'!$A$1:$A$30),MATCH(I23,'2026_BannerMD_BMT_HAPLOID'!$A$1:$D$1)),30)</f>
        <v>FOLLOW UP CARE - From day 1 po</v>
      </c>
      <c r="O23" s="17">
        <v>100789</v>
      </c>
      <c r="P23" s="507">
        <f t="shared" si="4"/>
        <v>104065</v>
      </c>
    </row>
    <row r="24" spans="1:17">
      <c r="A24" s="1" t="e">
        <f ca="1">'2026_BannerMD_BMT_HAPLOID'!$A$1</f>
        <v>#VALUE!</v>
      </c>
      <c r="B24" s="14" t="e">
        <f t="shared" ca="1" si="0"/>
        <v>#VALUE!</v>
      </c>
      <c r="C24" s="1" t="s">
        <v>349</v>
      </c>
      <c r="D24" s="4" t="e" cm="1">
        <f t="array" aca="1" ref="D24" ca="1">RIGHT(INDIRECT(ADDRESS(6,2,,,$A24)),6)</f>
        <v>#VALUE!</v>
      </c>
      <c r="E24" s="1" t="e" cm="1">
        <f t="array" aca="1" ref="E24" ca="1">RIGHT(INDIRECT(ADDRESS(4,2,,,$A24)),5)</f>
        <v>#VALUE!</v>
      </c>
      <c r="F24" s="22">
        <v>1.0335000000000001</v>
      </c>
      <c r="G24" s="22">
        <f t="shared" si="1"/>
        <v>1.0325</v>
      </c>
      <c r="H24" s="7">
        <v>6</v>
      </c>
      <c r="I24" s="7">
        <v>3</v>
      </c>
      <c r="J24" s="26">
        <v>4</v>
      </c>
      <c r="K24" s="26"/>
      <c r="L24" s="26" t="s">
        <v>350</v>
      </c>
      <c r="M24" s="26" t="s">
        <v>351</v>
      </c>
      <c r="N24" s="13" t="str">
        <f>LEFT(INDEX('2026_BannerMD_BMT_HAPLOID'!$A$1:$E$30,MATCH(H24,'2026_BannerMD_BMT_HAPLOID'!$A$1:$A$30),MATCH(I24,'2026_BannerMD_BMT_HAPLOID'!$A$1:$D$1)),30)</f>
        <v xml:space="preserve">FOLLOW UP CARE - From day 31  </v>
      </c>
      <c r="O24" s="17">
        <v>33330</v>
      </c>
      <c r="P24" s="507">
        <f t="shared" si="4"/>
        <v>34413</v>
      </c>
    </row>
    <row r="25" spans="1:17">
      <c r="A25" s="1" t="e">
        <f ca="1">'2026_BannerMD_BMT_HAPLOID'!$A$1</f>
        <v>#VALUE!</v>
      </c>
      <c r="B25" s="14" t="e">
        <f t="shared" ca="1" si="0"/>
        <v>#VALUE!</v>
      </c>
      <c r="C25" s="1" t="s">
        <v>349</v>
      </c>
      <c r="D25" s="4" t="e" cm="1">
        <f t="array" aca="1" ref="D25" ca="1">RIGHT(INDIRECT(ADDRESS(6,2,,,$A25)),6)</f>
        <v>#VALUE!</v>
      </c>
      <c r="E25" s="1" t="e" cm="1">
        <f t="array" aca="1" ref="E25" ca="1">RIGHT(INDIRECT(ADDRESS(4,2,,,$A25)),5)</f>
        <v>#VALUE!</v>
      </c>
      <c r="F25" s="22">
        <v>1.0335000000000001</v>
      </c>
      <c r="G25" s="22">
        <f t="shared" si="1"/>
        <v>1.0325</v>
      </c>
      <c r="H25" s="7">
        <v>7</v>
      </c>
      <c r="I25" s="7">
        <v>3</v>
      </c>
      <c r="J25" s="26">
        <v>4</v>
      </c>
      <c r="K25" s="26"/>
      <c r="L25" s="26" t="s">
        <v>350</v>
      </c>
      <c r="M25" s="26" t="s">
        <v>351</v>
      </c>
      <c r="N25" s="13" t="str">
        <f>LEFT(INDEX('2026_BannerMD_BMT_HAPLOID'!$A$1:$E$30,MATCH(H25,'2026_BannerMD_BMT_HAPLOID'!$A$1:$A$30),MATCH(I25,'2026_BannerMD_BMT_HAPLOID'!$A$1:$D$1)),30)</f>
        <v xml:space="preserve">PER DIEM RATES for day 61+ of </v>
      </c>
      <c r="O25" s="17">
        <v>2474</v>
      </c>
      <c r="P25" s="507">
        <f t="shared" si="4"/>
        <v>2554</v>
      </c>
    </row>
    <row r="26" spans="1:17">
      <c r="A26" s="1" t="e">
        <f ca="1">'2026_BannerMD_BMT_HAPLOID'!$A$1</f>
        <v>#VALUE!</v>
      </c>
      <c r="B26" s="14" t="e">
        <f t="shared" ca="1" si="0"/>
        <v>#VALUE!</v>
      </c>
      <c r="C26" s="1" t="s">
        <v>349</v>
      </c>
      <c r="D26" s="4" t="e" cm="1">
        <f t="array" aca="1" ref="D26" ca="1">RIGHT(INDIRECT(ADDRESS(6,2,,,$A26)),6)</f>
        <v>#VALUE!</v>
      </c>
      <c r="E26" s="1" t="e" cm="1">
        <f t="array" aca="1" ref="E26" ca="1">RIGHT(INDIRECT(ADDRESS(4,2,,,$A26)),5)</f>
        <v>#VALUE!</v>
      </c>
      <c r="F26" s="22">
        <v>1.0335000000000001</v>
      </c>
      <c r="G26" s="22">
        <f t="shared" si="1"/>
        <v>1.0325</v>
      </c>
      <c r="H26" s="7">
        <v>8</v>
      </c>
      <c r="I26" s="7">
        <v>3</v>
      </c>
      <c r="J26" s="26">
        <v>4</v>
      </c>
      <c r="K26" s="26"/>
      <c r="L26" s="26" t="s">
        <v>350</v>
      </c>
      <c r="M26" s="26" t="s">
        <v>351</v>
      </c>
      <c r="N26" s="9" t="str">
        <f>LEFT(INDEX('2026_BannerMD_BMT_HAPLOID'!$A$1:$E$30,MATCH(H26,'2026_BannerMD_BMT_HAPLOID'!$A$1:$A$30),MATCH(I26,'2026_BannerMD_BMT_HAPLOID'!$A$1:$D$1)),30)</f>
        <v>Days 11+/61+ paid at the per d</v>
      </c>
      <c r="O26" s="17">
        <v>7263.18</v>
      </c>
      <c r="P26" s="509">
        <f>O26*$Q$2</f>
        <v>8014.1928120000002</v>
      </c>
      <c r="Q26" s="14" t="s">
        <v>352</v>
      </c>
    </row>
    <row r="27" spans="1:17">
      <c r="A27" s="1" t="e">
        <f ca="1">'2026_BannerMD_BMT_HAPLOID'!$A$1</f>
        <v>#VALUE!</v>
      </c>
      <c r="B27" s="14" t="e">
        <f t="shared" ca="1" si="0"/>
        <v>#VALUE!</v>
      </c>
      <c r="C27" s="1" t="s">
        <v>349</v>
      </c>
      <c r="D27" s="4" t="e" cm="1">
        <f t="array" aca="1" ref="D27" ca="1">RIGHT(INDIRECT(ADDRESS(6,2,,,$A27)),6)</f>
        <v>#VALUE!</v>
      </c>
      <c r="E27" s="1" t="e" cm="1">
        <f t="array" aca="1" ref="E27" ca="1">RIGHT(INDIRECT(ADDRESS(4,2,,,$A27)),5)</f>
        <v>#VALUE!</v>
      </c>
      <c r="F27" s="22">
        <v>1.0335000000000001</v>
      </c>
      <c r="G27" s="22">
        <f t="shared" si="1"/>
        <v>1.0325</v>
      </c>
      <c r="H27" s="7">
        <v>9</v>
      </c>
      <c r="I27" s="7">
        <v>3</v>
      </c>
      <c r="J27" s="26">
        <v>4</v>
      </c>
      <c r="K27" s="26"/>
      <c r="L27" s="26" t="s">
        <v>350</v>
      </c>
      <c r="M27" s="26" t="s">
        <v>351</v>
      </c>
      <c r="N27" s="13" t="str">
        <f>LEFT(INDEX('2026_BannerMD_BMT_HAPLOID'!$A$1:$E$30,MATCH(H27,'2026_BannerMD_BMT_HAPLOID'!$A$1:$A$30),MATCH(I27,'2026_BannerMD_BMT_HAPLOID'!$A$1:$D$1)),30)</f>
        <v>Outliers: Haploid Related case</v>
      </c>
      <c r="O27" s="17">
        <v>308832.53700000001</v>
      </c>
      <c r="P27" s="507">
        <f>O27*$G$2</f>
        <v>318869.59445249999</v>
      </c>
      <c r="Q27" s="14" t="s">
        <v>353</v>
      </c>
    </row>
    <row r="28" spans="1:17">
      <c r="A28" s="1" t="e">
        <f ca="1">'2026_BannerMD_BMT_HAPLOID'!$A$1</f>
        <v>#VALUE!</v>
      </c>
      <c r="B28" s="14" t="e">
        <f t="shared" ca="1" si="0"/>
        <v>#VALUE!</v>
      </c>
      <c r="C28" s="1" t="s">
        <v>349</v>
      </c>
      <c r="D28" s="4" t="e" cm="1">
        <f t="array" aca="1" ref="D28" ca="1">RIGHT(INDIRECT(ADDRESS(6,2,,,$A28)),6)</f>
        <v>#VALUE!</v>
      </c>
      <c r="E28" s="1" t="e" cm="1">
        <f t="array" aca="1" ref="E28" ca="1">RIGHT(INDIRECT(ADDRESS(4,2,,,$A28)),5)</f>
        <v>#VALUE!</v>
      </c>
      <c r="F28" s="22">
        <v>1.0335000000000001</v>
      </c>
      <c r="G28" s="22">
        <f t="shared" si="1"/>
        <v>1.0325</v>
      </c>
      <c r="H28" s="7">
        <v>10</v>
      </c>
      <c r="I28" s="7">
        <v>3</v>
      </c>
      <c r="J28" s="26">
        <v>4</v>
      </c>
      <c r="K28" s="26"/>
      <c r="L28" s="26" t="s">
        <v>350</v>
      </c>
      <c r="M28" s="26" t="s">
        <v>351</v>
      </c>
      <c r="N28" s="13" t="str">
        <f>LEFT(INDEX('2026_BannerMD_BMT_HAPLOID'!$A$1:$E$30,MATCH(H28,'2026_BannerMD_BMT_HAPLOID'!$A$1:$A$30),MATCH(I28,'2026_BannerMD_BMT_HAPLOID'!$A$1:$D$1)),30)</f>
        <v>Rate Above Threshold</v>
      </c>
      <c r="O28" s="17">
        <v>0.5</v>
      </c>
      <c r="P28" s="508">
        <f>O28</f>
        <v>0.5</v>
      </c>
      <c r="Q28" s="14" t="s">
        <v>354</v>
      </c>
    </row>
    <row r="29" spans="1:17">
      <c r="A29" s="1" t="e">
        <f ca="1">'2026_BannerMD_BMT_ALLO_UNREL'!$A$1</f>
        <v>#VALUE!</v>
      </c>
      <c r="B29" s="14" t="e">
        <f t="shared" ca="1" si="0"/>
        <v>#VALUE!</v>
      </c>
      <c r="C29" s="1" t="s">
        <v>349</v>
      </c>
      <c r="D29" s="4" t="e" cm="1">
        <f t="array" aca="1" ref="D29" ca="1">RIGHT(INDIRECT(ADDRESS(6,2,,,$A29)),6)</f>
        <v>#VALUE!</v>
      </c>
      <c r="E29" s="1" t="e" cm="1">
        <f t="array" aca="1" ref="E29" ca="1">RIGHT(INDIRECT(ADDRESS(4,2,,,$A29)),5)</f>
        <v>#VALUE!</v>
      </c>
      <c r="F29" s="22">
        <v>1.0335000000000001</v>
      </c>
      <c r="G29" s="22">
        <f t="shared" si="1"/>
        <v>1.0325</v>
      </c>
      <c r="H29" s="7">
        <v>1</v>
      </c>
      <c r="I29" s="7">
        <v>3</v>
      </c>
      <c r="J29" s="26">
        <v>4</v>
      </c>
      <c r="K29" s="26"/>
      <c r="L29" s="26" t="s">
        <v>350</v>
      </c>
      <c r="M29" s="26" t="s">
        <v>351</v>
      </c>
      <c r="N29" s="13" t="str">
        <f>LEFT(INDEX('2026_BannerMD_BMT_ALLO_UNREL'!$A$1:$E$30,MATCH(H29,'2026_BannerMD_BMT_ALLO_UNREL'!$A$1:$A$30),MATCH(I29,'2026_BannerMD_BMT_ALLO_UNREL'!$A$1:$D$1)),30)</f>
        <v>OUTPATIENT EVALUATION* - Initi</v>
      </c>
      <c r="O29" s="17">
        <v>4617</v>
      </c>
      <c r="P29" s="507">
        <f t="shared" ref="P29:P30" si="5">ROUND(O29*$G$2,0)</f>
        <v>4767</v>
      </c>
    </row>
    <row r="30" spans="1:17">
      <c r="A30" s="1" t="e">
        <f ca="1">'2026_BannerMD_BMT_ALLO_UNREL'!$A$1</f>
        <v>#VALUE!</v>
      </c>
      <c r="B30" s="14" t="e">
        <f t="shared" ca="1" si="0"/>
        <v>#VALUE!</v>
      </c>
      <c r="C30" s="1" t="s">
        <v>349</v>
      </c>
      <c r="D30" s="4" t="e" cm="1">
        <f t="array" aca="1" ref="D30" ca="1">RIGHT(INDIRECT(ADDRESS(6,2,,,$A30)),6)</f>
        <v>#VALUE!</v>
      </c>
      <c r="E30" s="1" t="e" cm="1">
        <f t="array" aca="1" ref="E30" ca="1">RIGHT(INDIRECT(ADDRESS(4,2,,,$A30)),5)</f>
        <v>#VALUE!</v>
      </c>
      <c r="F30" s="22">
        <v>1.0335000000000001</v>
      </c>
      <c r="G30" s="22">
        <f t="shared" si="1"/>
        <v>1.0325</v>
      </c>
      <c r="H30" s="7">
        <v>2</v>
      </c>
      <c r="I30" s="7">
        <v>3</v>
      </c>
      <c r="J30" s="26">
        <v>4</v>
      </c>
      <c r="K30" s="26"/>
      <c r="L30" s="26" t="s">
        <v>350</v>
      </c>
      <c r="M30" s="26" t="s">
        <v>351</v>
      </c>
      <c r="N30" s="9" t="str">
        <f>LEFT(INDEX('2026_BannerMD_BMT_ALLO_UNREL'!$A$1:$E$30,MATCH(H30,'2026_BannerMD_BMT_ALLO_UNREL'!$A$1:$A$30),MATCH(I30,'2026_BannerMD_BMT_ALLO_UNREL'!$A$1:$D$1)),30)</f>
        <v>UNRELATED DONOR SEARCH</v>
      </c>
      <c r="O30" s="19">
        <v>7133</v>
      </c>
      <c r="P30" s="507">
        <f t="shared" si="5"/>
        <v>7365</v>
      </c>
    </row>
    <row r="31" spans="1:17">
      <c r="A31" s="1" t="e">
        <f ca="1">'2026_BannerMD_BMT_ALLO_UNREL'!$A$1</f>
        <v>#VALUE!</v>
      </c>
      <c r="B31" s="14" t="e">
        <f t="shared" ca="1" si="0"/>
        <v>#VALUE!</v>
      </c>
      <c r="C31" s="1" t="s">
        <v>349</v>
      </c>
      <c r="D31" s="4" t="e" cm="1">
        <f t="array" aca="1" ref="D31" ca="1">RIGHT(INDIRECT(ADDRESS(6,2,,,$A31)),6)</f>
        <v>#VALUE!</v>
      </c>
      <c r="E31" s="1" t="e" cm="1">
        <f t="array" aca="1" ref="E31" ca="1">RIGHT(INDIRECT(ADDRESS(4,2,,,$A31)),5)</f>
        <v>#VALUE!</v>
      </c>
      <c r="F31" s="22">
        <v>1.0335000000000001</v>
      </c>
      <c r="G31" s="22">
        <f t="shared" si="1"/>
        <v>1.0325</v>
      </c>
      <c r="H31" s="7">
        <v>3</v>
      </c>
      <c r="I31" s="7">
        <v>3</v>
      </c>
      <c r="J31" s="26">
        <v>4</v>
      </c>
      <c r="K31" s="26"/>
      <c r="L31" s="26" t="s">
        <v>350</v>
      </c>
      <c r="M31" s="26" t="s">
        <v>351</v>
      </c>
      <c r="N31" s="9" t="str">
        <f>LEFT(INDEX('2026_BannerMD_BMT_ALLO_UNREL'!$A$1:$E$30,MATCH(H31,'2026_BannerMD_BMT_ALLO_UNREL'!$A$1:$A$30),MATCH(I31,'2026_BannerMD_BMT_ALLO_UNREL'!$A$1:$D$1)),30)</f>
        <v>DONOR HARVEST (includes stem c</v>
      </c>
      <c r="O31" s="16" t="s">
        <v>355</v>
      </c>
      <c r="P31" s="507" t="str">
        <f>O31</f>
        <v>NBMD or Cord blood Invoice Cost</v>
      </c>
      <c r="Q31" s="14" t="s">
        <v>354</v>
      </c>
    </row>
    <row r="32" spans="1:17">
      <c r="A32" s="1" t="e">
        <f ca="1">'2026_BannerMD_BMT_ALLO_UNREL'!$A$1</f>
        <v>#VALUE!</v>
      </c>
      <c r="B32" s="14" t="e">
        <f t="shared" ca="1" si="0"/>
        <v>#VALUE!</v>
      </c>
      <c r="C32" s="1" t="s">
        <v>349</v>
      </c>
      <c r="D32" s="4" t="e" cm="1">
        <f t="array" aca="1" ref="D32" ca="1">RIGHT(INDIRECT(ADDRESS(6,2,,,$A32)),6)</f>
        <v>#VALUE!</v>
      </c>
      <c r="E32" s="1" t="e" cm="1">
        <f t="array" aca="1" ref="E32" ca="1">RIGHT(INDIRECT(ADDRESS(4,2,,,$A32)),5)</f>
        <v>#VALUE!</v>
      </c>
      <c r="F32" s="22">
        <v>1.0335000000000001</v>
      </c>
      <c r="G32" s="22">
        <f t="shared" si="1"/>
        <v>1.0325</v>
      </c>
      <c r="H32" s="7">
        <v>4</v>
      </c>
      <c r="I32" s="7">
        <v>3</v>
      </c>
      <c r="J32" s="26">
        <v>4</v>
      </c>
      <c r="K32" s="26"/>
      <c r="L32" s="26" t="s">
        <v>350</v>
      </c>
      <c r="M32" s="26" t="s">
        <v>351</v>
      </c>
      <c r="N32" s="9" t="str">
        <f>LEFT(INDEX('2026_BannerMD_BMT_ALLO_UNREL'!$A$1:$E$30,MATCH(H32,'2026_BannerMD_BMT_ALLO_UNREL'!$A$1:$A$30),MATCH(I32,'2026_BannerMD_BMT_ALLO_UNREL'!$A$1:$D$1)),30)</f>
        <v>PREP AND TRANSPLANT</v>
      </c>
      <c r="O32" s="19">
        <v>110859</v>
      </c>
      <c r="P32" s="507">
        <f t="shared" ref="P32:P35" si="6">ROUND(O32*$G$2,0)</f>
        <v>114462</v>
      </c>
    </row>
    <row r="33" spans="1:17">
      <c r="A33" s="1" t="e">
        <f ca="1">'2026_BannerMD_BMT_ALLO_UNREL'!$A$1</f>
        <v>#VALUE!</v>
      </c>
      <c r="B33" s="14" t="e">
        <f t="shared" ca="1" si="0"/>
        <v>#VALUE!</v>
      </c>
      <c r="C33" s="1" t="s">
        <v>349</v>
      </c>
      <c r="D33" s="4" t="e" cm="1">
        <f t="array" aca="1" ref="D33" ca="1">RIGHT(INDIRECT(ADDRESS(6,2,,,$A33)),6)</f>
        <v>#VALUE!</v>
      </c>
      <c r="E33" s="1" t="e" cm="1">
        <f t="array" aca="1" ref="E33" ca="1">RIGHT(INDIRECT(ADDRESS(4,2,,,$A33)),5)</f>
        <v>#VALUE!</v>
      </c>
      <c r="F33" s="22">
        <v>1.0335000000000001</v>
      </c>
      <c r="G33" s="22">
        <f t="shared" si="1"/>
        <v>1.0325</v>
      </c>
      <c r="H33" s="7">
        <v>5</v>
      </c>
      <c r="I33" s="7">
        <v>3</v>
      </c>
      <c r="J33" s="26">
        <v>4</v>
      </c>
      <c r="K33" s="26"/>
      <c r="L33" s="26" t="s">
        <v>350</v>
      </c>
      <c r="M33" s="26" t="s">
        <v>351</v>
      </c>
      <c r="N33" s="9" t="str">
        <f>LEFT(INDEX('2026_BannerMD_BMT_ALLO_UNREL'!$A$1:$E$30,MATCH(H33,'2026_BannerMD_BMT_ALLO_UNREL'!$A$1:$A$30),MATCH(I33,'2026_BannerMD_BMT_ALLO_UNREL'!$A$1:$D$1)),30)</f>
        <v>FOLLOW UP CARE - From day 1 po</v>
      </c>
      <c r="O33" s="19">
        <v>61294</v>
      </c>
      <c r="P33" s="507">
        <f t="shared" si="6"/>
        <v>63286</v>
      </c>
    </row>
    <row r="34" spans="1:17">
      <c r="A34" s="1" t="e">
        <f ca="1">'2026_BannerMD_BMT_ALLO_UNREL'!$A$1</f>
        <v>#VALUE!</v>
      </c>
      <c r="B34" s="14" t="e">
        <f t="shared" ca="1" si="0"/>
        <v>#VALUE!</v>
      </c>
      <c r="C34" s="1" t="s">
        <v>349</v>
      </c>
      <c r="D34" s="4" t="e" cm="1">
        <f t="array" aca="1" ref="D34" ca="1">RIGHT(INDIRECT(ADDRESS(6,2,,,$A34)),6)</f>
        <v>#VALUE!</v>
      </c>
      <c r="E34" s="1" t="e" cm="1">
        <f t="array" aca="1" ref="E34" ca="1">RIGHT(INDIRECT(ADDRESS(4,2,,,$A34)),5)</f>
        <v>#VALUE!</v>
      </c>
      <c r="F34" s="22">
        <v>1.0335000000000001</v>
      </c>
      <c r="G34" s="22">
        <f t="shared" si="1"/>
        <v>1.0325</v>
      </c>
      <c r="H34" s="7">
        <v>6</v>
      </c>
      <c r="I34" s="7">
        <v>3</v>
      </c>
      <c r="J34" s="26">
        <v>4</v>
      </c>
      <c r="K34" s="26"/>
      <c r="L34" s="26" t="s">
        <v>350</v>
      </c>
      <c r="M34" s="26" t="s">
        <v>351</v>
      </c>
      <c r="N34" s="9" t="str">
        <f>LEFT(INDEX('2026_BannerMD_BMT_ALLO_UNREL'!$A$1:$E$30,MATCH(H34,'2026_BannerMD_BMT_ALLO_UNREL'!$A$1:$A$30),MATCH(I34,'2026_BannerMD_BMT_ALLO_UNREL'!$A$1:$D$1)),30)</f>
        <v xml:space="preserve">FOLLOW UP CARE - From day 31  </v>
      </c>
      <c r="O34" s="19">
        <v>36823</v>
      </c>
      <c r="P34" s="507">
        <f t="shared" si="6"/>
        <v>38020</v>
      </c>
    </row>
    <row r="35" spans="1:17">
      <c r="A35" s="1" t="e">
        <f ca="1">'2026_BannerMD_BMT_ALLO_UNREL'!$A$1</f>
        <v>#VALUE!</v>
      </c>
      <c r="B35" s="14" t="e">
        <f t="shared" ca="1" si="0"/>
        <v>#VALUE!</v>
      </c>
      <c r="C35" s="1" t="s">
        <v>349</v>
      </c>
      <c r="D35" s="4" t="e" cm="1">
        <f t="array" aca="1" ref="D35" ca="1">RIGHT(INDIRECT(ADDRESS(6,2,,,$A35)),6)</f>
        <v>#VALUE!</v>
      </c>
      <c r="E35" s="1" t="e" cm="1">
        <f t="array" aca="1" ref="E35" ca="1">RIGHT(INDIRECT(ADDRESS(4,2,,,$A35)),5)</f>
        <v>#VALUE!</v>
      </c>
      <c r="F35" s="22">
        <v>1.0335000000000001</v>
      </c>
      <c r="G35" s="22">
        <f t="shared" si="1"/>
        <v>1.0325</v>
      </c>
      <c r="H35" s="7">
        <v>7</v>
      </c>
      <c r="I35" s="7">
        <v>3</v>
      </c>
      <c r="J35" s="26">
        <v>4</v>
      </c>
      <c r="K35" s="26"/>
      <c r="L35" s="26" t="s">
        <v>350</v>
      </c>
      <c r="M35" s="26" t="s">
        <v>351</v>
      </c>
      <c r="N35" s="9" t="str">
        <f>LEFT(INDEX('2026_BannerMD_BMT_ALLO_UNREL'!$A$1:$E$30,MATCH(H35,'2026_BannerMD_BMT_ALLO_UNREL'!$A$1:$A$30),MATCH(I35,'2026_BannerMD_BMT_ALLO_UNREL'!$A$1:$D$1)),30)</f>
        <v xml:space="preserve">PER DIEM RATES for day 61+ of </v>
      </c>
      <c r="O35" s="19">
        <v>2474</v>
      </c>
      <c r="P35" s="507">
        <f t="shared" si="6"/>
        <v>2554</v>
      </c>
    </row>
    <row r="36" spans="1:17">
      <c r="A36" s="1" t="e">
        <f ca="1">'2026_BannerMD_BMT_ALLO_UNREL'!$A$1</f>
        <v>#VALUE!</v>
      </c>
      <c r="B36" s="14" t="e">
        <f t="shared" ca="1" si="0"/>
        <v>#VALUE!</v>
      </c>
      <c r="C36" s="1" t="s">
        <v>349</v>
      </c>
      <c r="D36" s="4" t="e" cm="1">
        <f t="array" aca="1" ref="D36" ca="1">RIGHT(INDIRECT(ADDRESS(6,2,,,$A36)),6)</f>
        <v>#VALUE!</v>
      </c>
      <c r="E36" s="1" t="e" cm="1">
        <f t="array" aca="1" ref="E36" ca="1">RIGHT(INDIRECT(ADDRESS(4,2,,,$A36)),5)</f>
        <v>#VALUE!</v>
      </c>
      <c r="F36" s="22">
        <v>1.0335000000000001</v>
      </c>
      <c r="G36" s="22">
        <f t="shared" si="1"/>
        <v>1.0325</v>
      </c>
      <c r="H36" s="7">
        <v>8</v>
      </c>
      <c r="I36" s="7">
        <v>3</v>
      </c>
      <c r="J36" s="26">
        <v>4</v>
      </c>
      <c r="K36" s="26"/>
      <c r="L36" s="26" t="s">
        <v>350</v>
      </c>
      <c r="M36" s="26" t="s">
        <v>351</v>
      </c>
      <c r="N36" s="9" t="str">
        <f>LEFT(INDEX('2026_BannerMD_BMT_ALLO_UNREL'!$A$1:$E$30,MATCH(H36,'2026_BannerMD_BMT_ALLO_UNREL'!$A$1:$A$30),MATCH(I36,'2026_BannerMD_BMT_ALLO_UNREL'!$A$1:$D$1)),30)</f>
        <v>Days 11+/61+ paid at the per d</v>
      </c>
      <c r="O36" s="19">
        <v>7263.18</v>
      </c>
      <c r="P36" s="509">
        <f>O36*$Q$2</f>
        <v>8014.1928120000002</v>
      </c>
      <c r="Q36" s="14" t="s">
        <v>352</v>
      </c>
    </row>
    <row r="37" spans="1:17">
      <c r="A37" s="1" t="e">
        <f ca="1">'2026_BannerMD_BMT_ALLO_UNREL'!$A$1</f>
        <v>#VALUE!</v>
      </c>
      <c r="B37" s="14" t="e">
        <f t="shared" ca="1" si="0"/>
        <v>#VALUE!</v>
      </c>
      <c r="C37" s="1" t="s">
        <v>349</v>
      </c>
      <c r="D37" s="4" t="e" cm="1">
        <f t="array" aca="1" ref="D37" ca="1">RIGHT(INDIRECT(ADDRESS(6,2,,,$A37)),6)</f>
        <v>#VALUE!</v>
      </c>
      <c r="E37" s="1" t="e" cm="1">
        <f t="array" aca="1" ref="E37" ca="1">RIGHT(INDIRECT(ADDRESS(4,2,,,$A37)),5)</f>
        <v>#VALUE!</v>
      </c>
      <c r="F37" s="22">
        <v>1.0335000000000001</v>
      </c>
      <c r="G37" s="22">
        <f t="shared" si="1"/>
        <v>1.0325</v>
      </c>
      <c r="H37" s="7">
        <v>9</v>
      </c>
      <c r="I37" s="7">
        <v>3</v>
      </c>
      <c r="J37" s="26">
        <v>4</v>
      </c>
      <c r="K37" s="26"/>
      <c r="L37" s="26" t="s">
        <v>350</v>
      </c>
      <c r="M37" s="26" t="s">
        <v>351</v>
      </c>
      <c r="N37" s="9" t="str">
        <f>LEFT(INDEX('2026_BannerMD_BMT_ALLO_UNREL'!$A$1:$E$30,MATCH(H37,'2026_BannerMD_BMT_ALLO_UNREL'!$A$1:$A$30),MATCH(I37,'2026_BannerMD_BMT_ALLO_UNREL'!$A$1:$D$1)),30)</f>
        <v>Outliers: Matched unrelated al</v>
      </c>
      <c r="O37" s="19">
        <v>273197</v>
      </c>
      <c r="P37" s="507">
        <f t="shared" ref="P37" si="7">ROUND(O37*$G$2,0)</f>
        <v>282076</v>
      </c>
      <c r="Q37" s="14" t="s">
        <v>353</v>
      </c>
    </row>
    <row r="38" spans="1:17">
      <c r="A38" s="1" t="e">
        <f ca="1">'2026_BannerMD_BMT_ALLO_UNREL'!$A$1</f>
        <v>#VALUE!</v>
      </c>
      <c r="B38" s="14" t="e">
        <f t="shared" ca="1" si="0"/>
        <v>#VALUE!</v>
      </c>
      <c r="C38" s="1" t="s">
        <v>349</v>
      </c>
      <c r="D38" s="4" t="e" cm="1">
        <f t="array" aca="1" ref="D38" ca="1">RIGHT(INDIRECT(ADDRESS(6,2,,,$A38)),6)</f>
        <v>#VALUE!</v>
      </c>
      <c r="E38" s="1" t="e" cm="1">
        <f t="array" aca="1" ref="E38" ca="1">RIGHT(INDIRECT(ADDRESS(4,2,,,$A38)),5)</f>
        <v>#VALUE!</v>
      </c>
      <c r="F38" s="22">
        <v>1.0335000000000001</v>
      </c>
      <c r="G38" s="22">
        <f t="shared" si="1"/>
        <v>1.0325</v>
      </c>
      <c r="H38" s="7">
        <v>10</v>
      </c>
      <c r="I38" s="7">
        <v>3</v>
      </c>
      <c r="J38" s="26">
        <v>4</v>
      </c>
      <c r="K38" s="26"/>
      <c r="L38" s="26" t="s">
        <v>350</v>
      </c>
      <c r="M38" s="26" t="s">
        <v>351</v>
      </c>
      <c r="N38" s="9" t="str">
        <f>LEFT(INDEX('2026_BannerMD_BMT_ALLO_UNREL'!$A$1:$E$30,MATCH(H38,'2026_BannerMD_BMT_ALLO_UNREL'!$A$1:$A$30),MATCH(I38,'2026_BannerMD_BMT_ALLO_UNREL'!$A$1:$D$1)),30)</f>
        <v>Rate Above Threshold</v>
      </c>
      <c r="O38" s="16">
        <v>0.5</v>
      </c>
      <c r="P38" s="507">
        <f>O38</f>
        <v>0.5</v>
      </c>
      <c r="Q38" s="14" t="s">
        <v>354</v>
      </c>
    </row>
    <row r="39" spans="1:17">
      <c r="A39" s="1" t="e">
        <f ca="1">'2026_BannerMD_TBI'!$A$1</f>
        <v>#VALUE!</v>
      </c>
      <c r="B39" s="14" t="e">
        <f t="shared" ca="1" si="0"/>
        <v>#VALUE!</v>
      </c>
      <c r="C39" s="1" t="s">
        <v>349</v>
      </c>
      <c r="D39" s="4" t="e" cm="1">
        <f t="array" aca="1" ref="D39" ca="1">RIGHT(INDIRECT(ADDRESS(6,2,,,$A39)),6)</f>
        <v>#VALUE!</v>
      </c>
      <c r="E39" s="1" t="e" cm="1">
        <f t="array" aca="1" ref="E39" ca="1">RIGHT(INDIRECT(ADDRESS(4,2,,,$A39)),5)</f>
        <v>#VALUE!</v>
      </c>
      <c r="F39" s="22">
        <v>1.0335000000000001</v>
      </c>
      <c r="G39" s="22">
        <f t="shared" si="1"/>
        <v>1.0325</v>
      </c>
      <c r="H39" s="7">
        <v>1</v>
      </c>
      <c r="I39" s="7">
        <v>3</v>
      </c>
      <c r="J39" s="26">
        <v>4</v>
      </c>
      <c r="K39" s="26"/>
      <c r="L39" s="26" t="s">
        <v>350</v>
      </c>
      <c r="M39" s="26" t="s">
        <v>351</v>
      </c>
      <c r="N39" s="13" t="str">
        <f>LEFT(INDEX('2026_BannerMD_TBI'!$A$1:$E$30,MATCH(H39,'2026_BannerMD_TBI'!$A$1:$A$30),MATCH(I39,'2026_BannerMD_TBI'!$A$1:$D$1)),30)</f>
        <v xml:space="preserve">TOTAL BODY IRRADIATION (TBI)  </v>
      </c>
      <c r="O39" s="17">
        <v>7818</v>
      </c>
      <c r="P39" s="507">
        <f t="shared" ref="P39:P44" si="8">ROUND(O39*$G$2,0)</f>
        <v>8072</v>
      </c>
    </row>
    <row r="40" spans="1:17">
      <c r="A40" s="1" t="e">
        <f ca="1">'2026_BUMCP_HEART'!$A$1</f>
        <v>#VALUE!</v>
      </c>
      <c r="B40" s="14" t="e">
        <f t="shared" ca="1" si="0"/>
        <v>#VALUE!</v>
      </c>
      <c r="C40" s="1" t="s">
        <v>356</v>
      </c>
      <c r="D40" s="4" t="e" cm="1">
        <f t="array" aca="1" ref="D40" ca="1">RIGHT(INDIRECT(ADDRESS(6,2,,,$A40)),6)</f>
        <v>#VALUE!</v>
      </c>
      <c r="E40" s="1" t="e" cm="1">
        <f t="array" aca="1" ref="E40" ca="1">RIGHT(INDIRECT(ADDRESS(4,2,,,$A40)),5)</f>
        <v>#VALUE!</v>
      </c>
      <c r="F40" s="22">
        <v>1.0335000000000001</v>
      </c>
      <c r="G40" s="22">
        <f t="shared" si="1"/>
        <v>1.0325</v>
      </c>
      <c r="H40" s="7">
        <v>1</v>
      </c>
      <c r="I40" s="7">
        <v>3</v>
      </c>
      <c r="J40" s="26">
        <v>4</v>
      </c>
      <c r="K40" s="26"/>
      <c r="L40" s="26" t="s">
        <v>350</v>
      </c>
      <c r="M40" s="26" t="s">
        <v>351</v>
      </c>
      <c r="N40" s="9" t="str">
        <f>LEFT(INDEX('2026_BUMCP_HEART'!$A$1:$E$30,MATCH(H40,'2026_BUMCP_HEART'!$A$1:$A$30),MATCH(I40,'2026_BUMCP_HEART'!$A$1:$D$1)),30)</f>
        <v>OUTPATIENT EVALUATION* - Initi</v>
      </c>
      <c r="O40" s="19">
        <v>10119</v>
      </c>
      <c r="P40" s="507">
        <f t="shared" si="8"/>
        <v>10448</v>
      </c>
    </row>
    <row r="41" spans="1:17">
      <c r="A41" s="1" t="e">
        <f ca="1">'2026_BUMCP_HEART'!$A$1</f>
        <v>#VALUE!</v>
      </c>
      <c r="B41" s="14" t="e">
        <f t="shared" ca="1" si="0"/>
        <v>#VALUE!</v>
      </c>
      <c r="C41" s="1" t="s">
        <v>356</v>
      </c>
      <c r="D41" s="4" t="e" cm="1">
        <f t="array" aca="1" ref="D41" ca="1">RIGHT(INDIRECT(ADDRESS(6,2,,,$A41)),6)</f>
        <v>#VALUE!</v>
      </c>
      <c r="E41" s="1" t="e" cm="1">
        <f t="array" aca="1" ref="E41" ca="1">RIGHT(INDIRECT(ADDRESS(4,2,,,$A41)),5)</f>
        <v>#VALUE!</v>
      </c>
      <c r="F41" s="22">
        <v>1.0335000000000001</v>
      </c>
      <c r="G41" s="22">
        <f t="shared" si="1"/>
        <v>1.0325</v>
      </c>
      <c r="H41" s="7">
        <v>2</v>
      </c>
      <c r="I41" s="7">
        <v>3</v>
      </c>
      <c r="J41" s="26">
        <v>4</v>
      </c>
      <c r="K41" s="26"/>
      <c r="L41" s="26" t="s">
        <v>350</v>
      </c>
      <c r="M41" s="26" t="s">
        <v>351</v>
      </c>
      <c r="N41" s="9" t="str">
        <f>LEFT(INDEX('2026_BUMCP_HEART'!$A$1:$E$30,MATCH(H41,'2026_BUMCP_HEART'!$A$1:$A$30),MATCH(I41,'2026_BUMCP_HEART'!$A$1:$D$1)),30)</f>
        <v>PREP AND TRANSPLANT</v>
      </c>
      <c r="O41" s="19">
        <v>126167</v>
      </c>
      <c r="P41" s="507">
        <f t="shared" si="8"/>
        <v>130267</v>
      </c>
    </row>
    <row r="42" spans="1:17">
      <c r="A42" s="1" t="e">
        <f ca="1">'2026_BUMCP_HEART'!$A$1</f>
        <v>#VALUE!</v>
      </c>
      <c r="B42" s="14" t="e">
        <f t="shared" ca="1" si="0"/>
        <v>#VALUE!</v>
      </c>
      <c r="C42" s="1" t="s">
        <v>356</v>
      </c>
      <c r="D42" s="4" t="e" cm="1">
        <f t="array" aca="1" ref="D42" ca="1">RIGHT(INDIRECT(ADDRESS(6,2,,,$A42)),6)</f>
        <v>#VALUE!</v>
      </c>
      <c r="E42" s="1" t="e" cm="1">
        <f t="array" aca="1" ref="E42" ca="1">RIGHT(INDIRECT(ADDRESS(4,2,,,$A42)),5)</f>
        <v>#VALUE!</v>
      </c>
      <c r="F42" s="22">
        <v>1.0335000000000001</v>
      </c>
      <c r="G42" s="22">
        <f t="shared" si="1"/>
        <v>1.0325</v>
      </c>
      <c r="H42" s="7">
        <v>3</v>
      </c>
      <c r="I42" s="7">
        <v>3</v>
      </c>
      <c r="J42" s="26">
        <v>4</v>
      </c>
      <c r="K42" s="26"/>
      <c r="L42" s="26" t="s">
        <v>350</v>
      </c>
      <c r="M42" s="26" t="s">
        <v>351</v>
      </c>
      <c r="N42" s="9" t="str">
        <f>LEFT(INDEX('2026_BUMCP_HEART'!$A$1:$E$30,MATCH(H42,'2026_BUMCP_HEART'!$A$1:$A$30),MATCH(I42,'2026_BUMCP_HEART'!$A$1:$D$1)),30)</f>
        <v>FOLLOW UP CARE - From day 1 po</v>
      </c>
      <c r="O42" s="19">
        <v>95554</v>
      </c>
      <c r="P42" s="507">
        <f t="shared" si="8"/>
        <v>98660</v>
      </c>
    </row>
    <row r="43" spans="1:17">
      <c r="A43" s="1" t="e">
        <f ca="1">'2026_BUMCP_HEART'!$A$1</f>
        <v>#VALUE!</v>
      </c>
      <c r="B43" s="14" t="e">
        <f t="shared" ca="1" si="0"/>
        <v>#VALUE!</v>
      </c>
      <c r="C43" s="1" t="s">
        <v>356</v>
      </c>
      <c r="D43" s="4" t="e" cm="1">
        <f t="array" aca="1" ref="D43" ca="1">RIGHT(INDIRECT(ADDRESS(6,2,,,$A43)),6)</f>
        <v>#VALUE!</v>
      </c>
      <c r="E43" s="1" t="e" cm="1">
        <f t="array" aca="1" ref="E43" ca="1">RIGHT(INDIRECT(ADDRESS(4,2,,,$A43)),5)</f>
        <v>#VALUE!</v>
      </c>
      <c r="F43" s="22">
        <v>1.0335000000000001</v>
      </c>
      <c r="G43" s="22">
        <f t="shared" si="1"/>
        <v>1.0325</v>
      </c>
      <c r="H43" s="7">
        <v>4</v>
      </c>
      <c r="I43" s="7">
        <v>3</v>
      </c>
      <c r="J43" s="26">
        <v>4</v>
      </c>
      <c r="K43" s="26"/>
      <c r="L43" s="26" t="s">
        <v>350</v>
      </c>
      <c r="M43" s="26" t="s">
        <v>351</v>
      </c>
      <c r="N43" s="9" t="str">
        <f>LEFT(INDEX('2026_BUMCP_HEART'!$A$1:$E$30,MATCH(H43,'2026_BUMCP_HEART'!$A$1:$A$30),MATCH(I43,'2026_BUMCP_HEART'!$A$1:$D$1)),30)</f>
        <v xml:space="preserve">FOLLOW UP CARE - From day 31  </v>
      </c>
      <c r="O43" s="19">
        <v>40609</v>
      </c>
      <c r="P43" s="507">
        <f t="shared" si="8"/>
        <v>41929</v>
      </c>
    </row>
    <row r="44" spans="1:17">
      <c r="A44" s="1" t="e">
        <f ca="1">'2026_BUMCP_HEART'!$A$1</f>
        <v>#VALUE!</v>
      </c>
      <c r="B44" s="14" t="e">
        <f t="shared" ca="1" si="0"/>
        <v>#VALUE!</v>
      </c>
      <c r="C44" s="1" t="s">
        <v>356</v>
      </c>
      <c r="D44" s="4" t="e" cm="1">
        <f t="array" aca="1" ref="D44" ca="1">RIGHT(INDIRECT(ADDRESS(6,2,,,$A44)),6)</f>
        <v>#VALUE!</v>
      </c>
      <c r="E44" s="1" t="e" cm="1">
        <f t="array" aca="1" ref="E44" ca="1">RIGHT(INDIRECT(ADDRESS(4,2,,,$A44)),5)</f>
        <v>#VALUE!</v>
      </c>
      <c r="F44" s="22">
        <v>1.0335000000000001</v>
      </c>
      <c r="G44" s="22">
        <f t="shared" si="1"/>
        <v>1.0325</v>
      </c>
      <c r="H44" s="7">
        <v>5</v>
      </c>
      <c r="I44" s="7">
        <v>3</v>
      </c>
      <c r="J44" s="26">
        <v>4</v>
      </c>
      <c r="K44" s="26"/>
      <c r="L44" s="26" t="s">
        <v>350</v>
      </c>
      <c r="M44" s="26" t="s">
        <v>351</v>
      </c>
      <c r="N44" s="9" t="str">
        <f>LEFT(INDEX('2026_BUMCP_HEART'!$A$1:$E$30,MATCH(H44,'2026_BUMCP_HEART'!$A$1:$A$30),MATCH(I44,'2026_BUMCP_HEART'!$A$1:$D$1)),30)</f>
        <v xml:space="preserve">PER DIEM RATES for day 61+ of </v>
      </c>
      <c r="O44" s="19">
        <v>2474</v>
      </c>
      <c r="P44" s="507">
        <f t="shared" si="8"/>
        <v>2554</v>
      </c>
    </row>
    <row r="45" spans="1:17">
      <c r="A45" s="1" t="e">
        <f ca="1">'2026_BUMCP_HEART'!$A$1</f>
        <v>#VALUE!</v>
      </c>
      <c r="B45" s="14" t="e">
        <f t="shared" ca="1" si="0"/>
        <v>#VALUE!</v>
      </c>
      <c r="C45" s="1" t="s">
        <v>356</v>
      </c>
      <c r="D45" s="4" t="e" cm="1">
        <f t="array" aca="1" ref="D45" ca="1">RIGHT(INDIRECT(ADDRESS(6,2,,,$A45)),6)</f>
        <v>#VALUE!</v>
      </c>
      <c r="E45" s="1" t="e" cm="1">
        <f t="array" aca="1" ref="E45" ca="1">RIGHT(INDIRECT(ADDRESS(4,2,,,$A45)),5)</f>
        <v>#VALUE!</v>
      </c>
      <c r="F45" s="22">
        <v>1.0335000000000001</v>
      </c>
      <c r="G45" s="22">
        <f t="shared" si="1"/>
        <v>1.0325</v>
      </c>
      <c r="H45" s="7">
        <v>6</v>
      </c>
      <c r="I45" s="7">
        <v>3</v>
      </c>
      <c r="J45" s="26">
        <v>4</v>
      </c>
      <c r="K45" s="26"/>
      <c r="L45" s="26" t="s">
        <v>350</v>
      </c>
      <c r="M45" s="26" t="s">
        <v>351</v>
      </c>
      <c r="N45" s="9" t="str">
        <f>LEFT(INDEX('2026_BUMCP_HEART'!$A$1:$E$30,MATCH(H45,'2026_BUMCP_HEART'!$A$1:$A$30),MATCH(I45,'2026_BUMCP_HEART'!$A$1:$D$1)),30)</f>
        <v>Days 11+/61+ paid at the per d</v>
      </c>
      <c r="O45" s="19">
        <v>7263.18</v>
      </c>
      <c r="P45" s="509">
        <f>O45*$Q$2</f>
        <v>8014.1928120000002</v>
      </c>
      <c r="Q45" s="14" t="s">
        <v>352</v>
      </c>
    </row>
    <row r="46" spans="1:17">
      <c r="A46" s="1" t="e">
        <f ca="1">'2026_BUMCP_HEART'!$A$1</f>
        <v>#VALUE!</v>
      </c>
      <c r="B46" s="14" t="e">
        <f t="shared" ca="1" si="0"/>
        <v>#VALUE!</v>
      </c>
      <c r="C46" s="1" t="s">
        <v>356</v>
      </c>
      <c r="D46" s="4" t="e" cm="1">
        <f t="array" aca="1" ref="D46" ca="1">RIGHT(INDIRECT(ADDRESS(6,2,,,$A46)),6)</f>
        <v>#VALUE!</v>
      </c>
      <c r="E46" s="1" t="e" cm="1">
        <f t="array" aca="1" ref="E46" ca="1">RIGHT(INDIRECT(ADDRESS(4,2,,,$A46)),5)</f>
        <v>#VALUE!</v>
      </c>
      <c r="F46" s="22">
        <v>1.0335000000000001</v>
      </c>
      <c r="G46" s="22">
        <f t="shared" si="1"/>
        <v>1.0325</v>
      </c>
      <c r="H46" s="7">
        <v>7</v>
      </c>
      <c r="I46" s="7">
        <v>3</v>
      </c>
      <c r="J46" s="26">
        <v>4</v>
      </c>
      <c r="K46" s="26"/>
      <c r="L46" s="26" t="s">
        <v>350</v>
      </c>
      <c r="M46" s="26" t="s">
        <v>351</v>
      </c>
      <c r="N46" s="9" t="str">
        <f>LEFT(INDEX('2026_BUMCP_HEART'!$A$1:$E$30,MATCH(H46,'2026_BUMCP_HEART'!$A$1:$A$30),MATCH(I46,'2026_BUMCP_HEART'!$A$1:$D$1)),30)</f>
        <v>**Heart cases will be reimburs</v>
      </c>
      <c r="O46" s="19">
        <v>344467</v>
      </c>
      <c r="P46" s="507">
        <f t="shared" ref="P46" si="9">ROUND(O46*$G$2,0)</f>
        <v>355662</v>
      </c>
      <c r="Q46" s="14" t="s">
        <v>353</v>
      </c>
    </row>
    <row r="47" spans="1:17">
      <c r="A47" s="1" t="e">
        <f ca="1">'2026_BUMCP_HEART'!$A$1</f>
        <v>#VALUE!</v>
      </c>
      <c r="B47" s="14" t="e">
        <f t="shared" ca="1" si="0"/>
        <v>#VALUE!</v>
      </c>
      <c r="C47" s="1" t="s">
        <v>356</v>
      </c>
      <c r="D47" s="4" t="e" cm="1">
        <f t="array" aca="1" ref="D47" ca="1">RIGHT(INDIRECT(ADDRESS(6,2,,,$A47)),6)</f>
        <v>#VALUE!</v>
      </c>
      <c r="E47" s="1" t="e" cm="1">
        <f t="array" aca="1" ref="E47" ca="1">RIGHT(INDIRECT(ADDRESS(4,2,,,$A47)),5)</f>
        <v>#VALUE!</v>
      </c>
      <c r="F47" s="22">
        <v>1.0335000000000001</v>
      </c>
      <c r="G47" s="22">
        <f t="shared" si="1"/>
        <v>1.0325</v>
      </c>
      <c r="H47" s="7">
        <v>8</v>
      </c>
      <c r="I47" s="7">
        <v>3</v>
      </c>
      <c r="J47" s="26">
        <v>4</v>
      </c>
      <c r="K47" s="26"/>
      <c r="L47" s="26" t="s">
        <v>350</v>
      </c>
      <c r="M47" s="26" t="s">
        <v>351</v>
      </c>
      <c r="N47" s="9" t="str">
        <f>LEFT(INDEX('2026_BUMCP_HEART'!$A$1:$E$30,MATCH(H47,'2026_BUMCP_HEART'!$A$1:$A$30),MATCH(I47,'2026_BUMCP_HEART'!$A$1:$D$1)),30)</f>
        <v>Rate Above Threshold</v>
      </c>
      <c r="O47" s="19">
        <v>0.5</v>
      </c>
      <c r="P47" s="507">
        <f>O47</f>
        <v>0.5</v>
      </c>
      <c r="Q47" s="14" t="s">
        <v>354</v>
      </c>
    </row>
    <row r="48" spans="1:17">
      <c r="A48" s="1" t="e">
        <f ca="1">'2026_BUMCP_KIDNEY_CADAVERIC'!$A$1</f>
        <v>#VALUE!</v>
      </c>
      <c r="B48" s="14" t="e">
        <f t="shared" ca="1" si="0"/>
        <v>#VALUE!</v>
      </c>
      <c r="C48" s="1" t="s">
        <v>356</v>
      </c>
      <c r="D48" s="4" t="e" cm="1">
        <f t="array" aca="1" ref="D48" ca="1">RIGHT(INDIRECT(ADDRESS(6,2,,,$A48)),6)</f>
        <v>#VALUE!</v>
      </c>
      <c r="E48" s="1" t="e" cm="1">
        <f t="array" aca="1" ref="E48" ca="1">RIGHT(INDIRECT(ADDRESS(4,2,,,$A48)),5)</f>
        <v>#VALUE!</v>
      </c>
      <c r="F48" s="22">
        <v>1.0335000000000001</v>
      </c>
      <c r="G48" s="22">
        <f t="shared" si="1"/>
        <v>1.0325</v>
      </c>
      <c r="H48" s="7">
        <v>1</v>
      </c>
      <c r="I48" s="7">
        <v>3</v>
      </c>
      <c r="J48" s="26">
        <v>4</v>
      </c>
      <c r="K48" s="26"/>
      <c r="L48" s="26" t="s">
        <v>350</v>
      </c>
      <c r="M48" s="26" t="s">
        <v>351</v>
      </c>
      <c r="N48" s="9" t="str">
        <f>LEFT(INDEX('2026_BUMCP_KIDNEY_CADAVERIC'!$A$1:$E$30,MATCH($H48,'2026_BUMCP_KIDNEY_CADAVERIC'!$A$1:$A$30),MATCH(I48,'2026_BUMCP_KIDNEY_CADAVERIC'!$A$1:$D$1)),30)</f>
        <v>OUTPATIENT EVALUATION* - Initi</v>
      </c>
      <c r="O48" s="16">
        <v>5160</v>
      </c>
      <c r="P48" s="507">
        <f t="shared" ref="P48:P50" si="10">ROUND(O48*$G$2,0)</f>
        <v>5328</v>
      </c>
    </row>
    <row r="49" spans="1:17">
      <c r="A49" s="1" t="e">
        <f ca="1">'2026_BUMCP_KIDNEY_CADAVERIC'!$A$1</f>
        <v>#VALUE!</v>
      </c>
      <c r="B49" s="14" t="e">
        <f t="shared" ca="1" si="0"/>
        <v>#VALUE!</v>
      </c>
      <c r="C49" s="1" t="s">
        <v>356</v>
      </c>
      <c r="D49" s="4" t="e" cm="1">
        <f t="array" aca="1" ref="D49" ca="1">RIGHT(INDIRECT(ADDRESS(6,2,,,$A49)),6)</f>
        <v>#VALUE!</v>
      </c>
      <c r="E49" s="1" t="e" cm="1">
        <f t="array" aca="1" ref="E49" ca="1">RIGHT(INDIRECT(ADDRESS(4,2,,,$A49)),5)</f>
        <v>#VALUE!</v>
      </c>
      <c r="F49" s="22">
        <v>1.0335000000000001</v>
      </c>
      <c r="G49" s="22">
        <f t="shared" si="1"/>
        <v>1.0325</v>
      </c>
      <c r="H49" s="7">
        <v>2</v>
      </c>
      <c r="I49" s="7">
        <v>3</v>
      </c>
      <c r="J49" s="26">
        <v>4</v>
      </c>
      <c r="K49" s="26"/>
      <c r="L49" s="26" t="s">
        <v>350</v>
      </c>
      <c r="M49" s="26" t="s">
        <v>351</v>
      </c>
      <c r="N49" s="9" t="str">
        <f>LEFT(INDEX('2026_BUMCP_KIDNEY_CADAVERIC'!$A$1:$E$30,MATCH($H49,'2026_BUMCP_KIDNEY_CADAVERIC'!$A$1:$A$30),MATCH(I49,'2026_BUMCP_KIDNEY_CADAVERIC'!$A$1:$D$1)),30)</f>
        <v>PREP &amp; TRANSPLANT UP TO AND IN</v>
      </c>
      <c r="O49" s="16">
        <v>122190</v>
      </c>
      <c r="P49" s="507">
        <f t="shared" si="10"/>
        <v>126161</v>
      </c>
    </row>
    <row r="50" spans="1:17">
      <c r="A50" s="1" t="e">
        <f ca="1">'2026_BUMCP_KIDNEY_CADAVERIC'!$A$1</f>
        <v>#VALUE!</v>
      </c>
      <c r="B50" s="14" t="e">
        <f t="shared" ca="1" si="0"/>
        <v>#VALUE!</v>
      </c>
      <c r="C50" s="1" t="s">
        <v>356</v>
      </c>
      <c r="D50" s="4" t="e" cm="1">
        <f t="array" aca="1" ref="D50" ca="1">RIGHT(INDIRECT(ADDRESS(6,2,,,$A50)),6)</f>
        <v>#VALUE!</v>
      </c>
      <c r="E50" s="1" t="e" cm="1">
        <f t="array" aca="1" ref="E50" ca="1">RIGHT(INDIRECT(ADDRESS(4,2,,,$A50)),5)</f>
        <v>#VALUE!</v>
      </c>
      <c r="F50" s="22">
        <v>1.0335000000000001</v>
      </c>
      <c r="G50" s="22">
        <f t="shared" si="1"/>
        <v>1.0325</v>
      </c>
      <c r="H50" s="7">
        <v>3</v>
      </c>
      <c r="I50" s="7">
        <v>3</v>
      </c>
      <c r="J50" s="26">
        <v>4</v>
      </c>
      <c r="K50" s="26"/>
      <c r="L50" s="26" t="s">
        <v>350</v>
      </c>
      <c r="M50" s="26" t="s">
        <v>351</v>
      </c>
      <c r="N50" s="9" t="str">
        <f>LEFT(INDEX('2026_BUMCP_KIDNEY_CADAVERIC'!$A$1:$E$30,MATCH($H50,'2026_BUMCP_KIDNEY_CADAVERIC'!$A$1:$A$30),MATCH(I50,'2026_BUMCP_KIDNEY_CADAVERIC'!$A$1:$D$1)),30)</f>
        <v xml:space="preserve">PER DIEM RATES for day 11+ of </v>
      </c>
      <c r="O50" s="16">
        <v>2474</v>
      </c>
      <c r="P50" s="507">
        <f t="shared" si="10"/>
        <v>2554</v>
      </c>
    </row>
    <row r="51" spans="1:17">
      <c r="A51" s="1" t="e">
        <f ca="1">'2026_BUMCP_KIDNEY_CADAVERIC'!$A$1</f>
        <v>#VALUE!</v>
      </c>
      <c r="B51" s="14" t="e">
        <f t="shared" ca="1" si="0"/>
        <v>#VALUE!</v>
      </c>
      <c r="C51" s="1" t="s">
        <v>356</v>
      </c>
      <c r="D51" s="4" t="e" cm="1">
        <f t="array" aca="1" ref="D51" ca="1">RIGHT(INDIRECT(ADDRESS(6,2,,,$A51)),6)</f>
        <v>#VALUE!</v>
      </c>
      <c r="E51" s="1" t="e" cm="1">
        <f t="array" aca="1" ref="E51" ca="1">RIGHT(INDIRECT(ADDRESS(4,2,,,$A51)),5)</f>
        <v>#VALUE!</v>
      </c>
      <c r="F51" s="22">
        <v>1.0335000000000001</v>
      </c>
      <c r="G51" s="22">
        <f t="shared" si="1"/>
        <v>1.0325</v>
      </c>
      <c r="H51" s="7">
        <v>4</v>
      </c>
      <c r="I51" s="7">
        <v>3</v>
      </c>
      <c r="J51" s="26">
        <v>4</v>
      </c>
      <c r="K51" s="26"/>
      <c r="L51" s="26" t="s">
        <v>350</v>
      </c>
      <c r="M51" s="26" t="s">
        <v>351</v>
      </c>
      <c r="N51" s="9" t="str">
        <f>LEFT(INDEX('2026_BUMCP_KIDNEY_CADAVERIC'!$A$1:$E$30,MATCH($H51,'2026_BUMCP_KIDNEY_CADAVERIC'!$A$1:$A$30),MATCH(I51,'2026_BUMCP_KIDNEY_CADAVERIC'!$A$1:$D$1)),30)</f>
        <v>Days 11+/61+ paid at the per d</v>
      </c>
      <c r="O51" s="16">
        <v>7263.18</v>
      </c>
      <c r="P51" s="509">
        <f>O51*$Q$2</f>
        <v>8014.1928120000002</v>
      </c>
      <c r="Q51" s="14" t="s">
        <v>352</v>
      </c>
    </row>
    <row r="52" spans="1:17">
      <c r="A52" s="1" t="e">
        <f ca="1">'2026_BUMCP_KIDNEY_LIVING'!$A$1</f>
        <v>#VALUE!</v>
      </c>
      <c r="B52" s="14" t="e">
        <f t="shared" ca="1" si="0"/>
        <v>#VALUE!</v>
      </c>
      <c r="C52" s="1" t="s">
        <v>356</v>
      </c>
      <c r="D52" s="4" t="e" cm="1">
        <f t="array" aca="1" ref="D52" ca="1">RIGHT(INDIRECT(ADDRESS(6,2,,,$A52)),6)</f>
        <v>#VALUE!</v>
      </c>
      <c r="E52" s="1" t="e" cm="1">
        <f t="array" aca="1" ref="E52" ca="1">RIGHT(INDIRECT(ADDRESS(4,2,,,$A52)),5)</f>
        <v>#VALUE!</v>
      </c>
      <c r="F52" s="22">
        <v>1.0335000000000001</v>
      </c>
      <c r="G52" s="22">
        <f t="shared" si="1"/>
        <v>1.0325</v>
      </c>
      <c r="H52" s="7">
        <v>1</v>
      </c>
      <c r="I52" s="7">
        <v>3</v>
      </c>
      <c r="J52" s="26">
        <v>4</v>
      </c>
      <c r="K52" s="26"/>
      <c r="L52" s="26" t="s">
        <v>350</v>
      </c>
      <c r="M52" s="26" t="s">
        <v>351</v>
      </c>
      <c r="N52" s="9" t="str">
        <f>LEFT(INDEX('2026_BUMCP_KIDNEY_LIVING'!$A$1:$E$30,MATCH($H52,'2026_BUMCP_KIDNEY_LIVING'!$A$1:$A$30),MATCH(I52,'2026_BUMCP_KIDNEY_LIVING'!$A$1:$D$1)),30)</f>
        <v>OUTPATIENT EVALUATION* - Initi</v>
      </c>
      <c r="O52" s="16">
        <v>5160</v>
      </c>
      <c r="P52" s="507">
        <f t="shared" ref="P52:P55" si="11">ROUND(O52*$G$2,0)</f>
        <v>5328</v>
      </c>
    </row>
    <row r="53" spans="1:17">
      <c r="A53" s="1" t="e">
        <f ca="1">'2026_BUMCP_KIDNEY_LIVING'!$A$1</f>
        <v>#VALUE!</v>
      </c>
      <c r="B53" s="14" t="e">
        <f t="shared" ca="1" si="0"/>
        <v>#VALUE!</v>
      </c>
      <c r="C53" s="1" t="s">
        <v>356</v>
      </c>
      <c r="D53" s="4" t="e" cm="1">
        <f t="array" aca="1" ref="D53" ca="1">RIGHT(INDIRECT(ADDRESS(6,2,,,$A53)),6)</f>
        <v>#VALUE!</v>
      </c>
      <c r="E53" s="1" t="e" cm="1">
        <f t="array" aca="1" ref="E53" ca="1">RIGHT(INDIRECT(ADDRESS(4,2,,,$A53)),5)</f>
        <v>#VALUE!</v>
      </c>
      <c r="F53" s="22">
        <v>1.0335000000000001</v>
      </c>
      <c r="G53" s="22">
        <f t="shared" si="1"/>
        <v>1.0325</v>
      </c>
      <c r="H53" s="7">
        <v>2</v>
      </c>
      <c r="I53" s="7">
        <v>3</v>
      </c>
      <c r="J53" s="26">
        <v>4</v>
      </c>
      <c r="K53" s="26"/>
      <c r="L53" s="26" t="s">
        <v>350</v>
      </c>
      <c r="M53" s="26" t="s">
        <v>351</v>
      </c>
      <c r="N53" s="9" t="str">
        <f>LEFT(INDEX('2026_BUMCP_KIDNEY_LIVING'!$A$1:$E$30,MATCH($H53,'2026_BUMCP_KIDNEY_LIVING'!$A$1:$A$30),MATCH(I53,'2026_BUMCP_KIDNEY_LIVING'!$A$1:$D$1)),30)</f>
        <v>PREP &amp; TRANSPLANT UP TO AND IN</v>
      </c>
      <c r="O53" s="16">
        <v>122190</v>
      </c>
      <c r="P53" s="507">
        <f t="shared" si="11"/>
        <v>126161</v>
      </c>
    </row>
    <row r="54" spans="1:17">
      <c r="A54" s="1" t="e">
        <f ca="1">'2026_BUMCP_KIDNEY_LIVING'!$A$1</f>
        <v>#VALUE!</v>
      </c>
      <c r="B54" s="14" t="e">
        <f t="shared" ca="1" si="0"/>
        <v>#VALUE!</v>
      </c>
      <c r="C54" s="1" t="s">
        <v>356</v>
      </c>
      <c r="D54" s="4" t="e" cm="1">
        <f t="array" aca="1" ref="D54" ca="1">RIGHT(INDIRECT(ADDRESS(6,2,,,$A54)),6)</f>
        <v>#VALUE!</v>
      </c>
      <c r="E54" s="1" t="e" cm="1">
        <f t="array" aca="1" ref="E54" ca="1">RIGHT(INDIRECT(ADDRESS(4,2,,,$A54)),5)</f>
        <v>#VALUE!</v>
      </c>
      <c r="F54" s="22">
        <v>1.0335000000000001</v>
      </c>
      <c r="G54" s="22">
        <f t="shared" si="1"/>
        <v>1.0325</v>
      </c>
      <c r="H54" s="7">
        <v>3</v>
      </c>
      <c r="I54" s="7">
        <v>3</v>
      </c>
      <c r="J54" s="26">
        <v>4</v>
      </c>
      <c r="K54" s="26"/>
      <c r="L54" s="26" t="s">
        <v>350</v>
      </c>
      <c r="M54" s="26" t="s">
        <v>351</v>
      </c>
      <c r="N54" s="9" t="str">
        <f>LEFT(INDEX('2026_BUMCP_KIDNEY_LIVING'!$A$1:$E$30,MATCH($H54,'2026_BUMCP_KIDNEY_LIVING'!$A$1:$A$30),MATCH(I54,'2026_BUMCP_KIDNEY_LIVING'!$A$1:$D$1)),30)</f>
        <v>LIVING DONOR SURGERY AND INPAT</v>
      </c>
      <c r="O54" s="16">
        <v>19378</v>
      </c>
      <c r="P54" s="507">
        <f t="shared" si="11"/>
        <v>20008</v>
      </c>
    </row>
    <row r="55" spans="1:17">
      <c r="A55" s="1" t="e">
        <f ca="1">'2026_BUMCP_KIDNEY_LIVING'!$A$1</f>
        <v>#VALUE!</v>
      </c>
      <c r="B55" s="14" t="e">
        <f t="shared" ca="1" si="0"/>
        <v>#VALUE!</v>
      </c>
      <c r="C55" s="1" t="s">
        <v>356</v>
      </c>
      <c r="D55" s="4" t="e" cm="1">
        <f t="array" aca="1" ref="D55" ca="1">RIGHT(INDIRECT(ADDRESS(6,2,,,$A55)),6)</f>
        <v>#VALUE!</v>
      </c>
      <c r="E55" s="1" t="e" cm="1">
        <f t="array" aca="1" ref="E55" ca="1">RIGHT(INDIRECT(ADDRESS(4,2,,,$A55)),5)</f>
        <v>#VALUE!</v>
      </c>
      <c r="F55" s="22">
        <v>1.0335000000000001</v>
      </c>
      <c r="G55" s="22">
        <f t="shared" si="1"/>
        <v>1.0325</v>
      </c>
      <c r="H55" s="7">
        <v>4</v>
      </c>
      <c r="I55" s="7">
        <v>3</v>
      </c>
      <c r="J55" s="26">
        <v>4</v>
      </c>
      <c r="K55" s="26"/>
      <c r="L55" s="26" t="s">
        <v>350</v>
      </c>
      <c r="M55" s="26" t="s">
        <v>351</v>
      </c>
      <c r="N55" s="9" t="str">
        <f>LEFT(INDEX('2026_BUMCP_KIDNEY_LIVING'!$A$1:$E$30,MATCH($H55,'2026_BUMCP_KIDNEY_LIVING'!$A$1:$A$30),MATCH(I55,'2026_BUMCP_KIDNEY_LIVING'!$A$1:$D$1)),30)</f>
        <v xml:space="preserve">PER DIEM RATES for day 11+ of </v>
      </c>
      <c r="O55" s="16">
        <v>2474</v>
      </c>
      <c r="P55" s="507">
        <f t="shared" si="11"/>
        <v>2554</v>
      </c>
    </row>
    <row r="56" spans="1:17">
      <c r="A56" s="1" t="e">
        <f ca="1">'2026_BUMCP_KIDNEY_LIVING'!$A$1</f>
        <v>#VALUE!</v>
      </c>
      <c r="B56" s="14" t="e">
        <f t="shared" ca="1" si="0"/>
        <v>#VALUE!</v>
      </c>
      <c r="C56" s="1" t="s">
        <v>356</v>
      </c>
      <c r="D56" s="4" t="e" cm="1">
        <f t="array" aca="1" ref="D56" ca="1">RIGHT(INDIRECT(ADDRESS(6,2,,,$A56)),6)</f>
        <v>#VALUE!</v>
      </c>
      <c r="E56" s="1" t="e" cm="1">
        <f t="array" aca="1" ref="E56" ca="1">RIGHT(INDIRECT(ADDRESS(4,2,,,$A56)),5)</f>
        <v>#VALUE!</v>
      </c>
      <c r="F56" s="22">
        <v>1.0335000000000001</v>
      </c>
      <c r="G56" s="22">
        <f t="shared" si="1"/>
        <v>1.0325</v>
      </c>
      <c r="H56" s="7">
        <v>5</v>
      </c>
      <c r="I56" s="7">
        <v>3</v>
      </c>
      <c r="J56" s="26">
        <v>4</v>
      </c>
      <c r="K56" s="26"/>
      <c r="L56" s="26" t="s">
        <v>350</v>
      </c>
      <c r="M56" s="26" t="s">
        <v>351</v>
      </c>
      <c r="N56" s="9" t="str">
        <f>LEFT(INDEX('2026_BUMCP_KIDNEY_LIVING'!$A$1:$E$30,MATCH($H56,'2026_BUMCP_KIDNEY_LIVING'!$A$1:$A$30),MATCH(I56,'2026_BUMCP_KIDNEY_LIVING'!$A$1:$D$1)),30)</f>
        <v>Days 11+/61+ paid at the per d</v>
      </c>
      <c r="O56" s="16">
        <v>7263.18</v>
      </c>
      <c r="P56" s="509">
        <f>O56*$Q$2</f>
        <v>8014.1928120000002</v>
      </c>
      <c r="Q56" s="14" t="s">
        <v>352</v>
      </c>
    </row>
    <row r="57" spans="1:17">
      <c r="A57" s="1" t="e">
        <f ca="1">'2026_BUMCP_PANCREA_AFTER_KDY'!$A$1</f>
        <v>#VALUE!</v>
      </c>
      <c r="B57" s="14" t="e">
        <f t="shared" ca="1" si="0"/>
        <v>#VALUE!</v>
      </c>
      <c r="C57" s="1" t="s">
        <v>356</v>
      </c>
      <c r="D57" s="4" t="e" cm="1">
        <f t="array" aca="1" ref="D57" ca="1">RIGHT(INDIRECT(ADDRESS(6,2,,,$A57)),6)</f>
        <v>#VALUE!</v>
      </c>
      <c r="E57" s="1" t="e" cm="1">
        <f t="array" aca="1" ref="E57" ca="1">RIGHT(INDIRECT(ADDRESS(4,2,,,$A57)),5)</f>
        <v>#VALUE!</v>
      </c>
      <c r="F57" s="22">
        <v>1.0335000000000001</v>
      </c>
      <c r="G57" s="22">
        <f t="shared" si="1"/>
        <v>1.0325</v>
      </c>
      <c r="H57" s="7">
        <v>1</v>
      </c>
      <c r="I57" s="7">
        <v>3</v>
      </c>
      <c r="J57" s="26">
        <v>4</v>
      </c>
      <c r="K57" s="26"/>
      <c r="L57" s="26" t="s">
        <v>350</v>
      </c>
      <c r="M57" s="26" t="s">
        <v>351</v>
      </c>
      <c r="N57" s="9" t="str">
        <f>LEFT(INDEX('2026_BUMCP_PANCREA_AFTER_KDY'!$A$1:$E$30,MATCH($H57,'2026_BUMCP_PANCREA_AFTER_KDY'!$A$1:$A$30),MATCH(I57,'2026_BUMCP_PANCREA_AFTER_KDY'!$A$1:$D$1)),30)</f>
        <v>OUTPATIENT EVALUATION* - Initi</v>
      </c>
      <c r="O57" s="16">
        <v>3722</v>
      </c>
      <c r="P57" s="507">
        <f t="shared" ref="P57:P61" si="12">ROUND(O57*$G$2,0)</f>
        <v>3843</v>
      </c>
    </row>
    <row r="58" spans="1:17">
      <c r="A58" s="1" t="e">
        <f ca="1">'2026_BUMCP_PANCREA_AFTER_KDY'!$A$1</f>
        <v>#VALUE!</v>
      </c>
      <c r="B58" s="14" t="e">
        <f t="shared" ca="1" si="0"/>
        <v>#VALUE!</v>
      </c>
      <c r="C58" s="1" t="s">
        <v>356</v>
      </c>
      <c r="D58" s="4" t="e" cm="1">
        <f t="array" aca="1" ref="D58" ca="1">RIGHT(INDIRECT(ADDRESS(6,2,,,$A58)),6)</f>
        <v>#VALUE!</v>
      </c>
      <c r="E58" s="1" t="e" cm="1">
        <f t="array" aca="1" ref="E58" ca="1">RIGHT(INDIRECT(ADDRESS(4,2,,,$A58)),5)</f>
        <v>#VALUE!</v>
      </c>
      <c r="F58" s="22">
        <v>1.0335000000000001</v>
      </c>
      <c r="G58" s="22">
        <f t="shared" si="1"/>
        <v>1.0325</v>
      </c>
      <c r="H58" s="7">
        <v>2</v>
      </c>
      <c r="I58" s="7">
        <v>3</v>
      </c>
      <c r="J58" s="26">
        <v>4</v>
      </c>
      <c r="K58" s="26"/>
      <c r="L58" s="26" t="s">
        <v>350</v>
      </c>
      <c r="M58" s="26" t="s">
        <v>351</v>
      </c>
      <c r="N58" s="9" t="str">
        <f>LEFT(INDEX('2026_BUMCP_PANCREA_AFTER_KDY'!$A$1:$E$30,MATCH($H58,'2026_BUMCP_PANCREA_AFTER_KDY'!$A$1:$A$30),MATCH(I58,'2026_BUMCP_PANCREA_AFTER_KDY'!$A$1:$D$1)),30)</f>
        <v>PREP AND TRANSPLANT</v>
      </c>
      <c r="O58" s="16">
        <v>92657</v>
      </c>
      <c r="P58" s="507">
        <f t="shared" si="12"/>
        <v>95668</v>
      </c>
    </row>
    <row r="59" spans="1:17">
      <c r="A59" s="1" t="e">
        <f ca="1">'2026_BUMCP_PANCREA_AFTER_KDY'!$A$1</f>
        <v>#VALUE!</v>
      </c>
      <c r="B59" s="14" t="e">
        <f t="shared" ca="1" si="0"/>
        <v>#VALUE!</v>
      </c>
      <c r="C59" s="1" t="s">
        <v>356</v>
      </c>
      <c r="D59" s="4" t="e" cm="1">
        <f t="array" aca="1" ref="D59" ca="1">RIGHT(INDIRECT(ADDRESS(6,2,,,$A59)),6)</f>
        <v>#VALUE!</v>
      </c>
      <c r="E59" s="1" t="e" cm="1">
        <f t="array" aca="1" ref="E59" ca="1">RIGHT(INDIRECT(ADDRESS(4,2,,,$A59)),5)</f>
        <v>#VALUE!</v>
      </c>
      <c r="F59" s="22">
        <v>1.0335000000000001</v>
      </c>
      <c r="G59" s="22">
        <f t="shared" si="1"/>
        <v>1.0325</v>
      </c>
      <c r="H59" s="7">
        <v>3</v>
      </c>
      <c r="I59" s="7">
        <v>3</v>
      </c>
      <c r="J59" s="26">
        <v>4</v>
      </c>
      <c r="K59" s="26"/>
      <c r="L59" s="26" t="s">
        <v>350</v>
      </c>
      <c r="M59" s="26" t="s">
        <v>351</v>
      </c>
      <c r="N59" s="9" t="str">
        <f>LEFT(INDEX('2026_BUMCP_PANCREA_AFTER_KDY'!$A$1:$E$30,MATCH($H59,'2026_BUMCP_PANCREA_AFTER_KDY'!$A$1:$A$30),MATCH(I59,'2026_BUMCP_PANCREA_AFTER_KDY'!$A$1:$D$1)),30)</f>
        <v>FOLLOW UP CARE - From day 1 po</v>
      </c>
      <c r="O59" s="16">
        <v>41209</v>
      </c>
      <c r="P59" s="507">
        <f t="shared" si="12"/>
        <v>42548</v>
      </c>
    </row>
    <row r="60" spans="1:17">
      <c r="A60" s="1" t="e">
        <f ca="1">'2026_BUMCP_PANCREA_AFTER_KDY'!$A$1</f>
        <v>#VALUE!</v>
      </c>
      <c r="B60" s="14" t="e">
        <f t="shared" ca="1" si="0"/>
        <v>#VALUE!</v>
      </c>
      <c r="C60" s="1" t="s">
        <v>356</v>
      </c>
      <c r="D60" s="4" t="e" cm="1">
        <f t="array" aca="1" ref="D60" ca="1">RIGHT(INDIRECT(ADDRESS(6,2,,,$A60)),6)</f>
        <v>#VALUE!</v>
      </c>
      <c r="E60" s="1" t="e" cm="1">
        <f t="array" aca="1" ref="E60" ca="1">RIGHT(INDIRECT(ADDRESS(4,2,,,$A60)),5)</f>
        <v>#VALUE!</v>
      </c>
      <c r="F60" s="22">
        <v>1.0335000000000001</v>
      </c>
      <c r="G60" s="22">
        <f t="shared" si="1"/>
        <v>1.0325</v>
      </c>
      <c r="H60" s="7">
        <v>4</v>
      </c>
      <c r="I60" s="7">
        <v>3</v>
      </c>
      <c r="J60" s="26">
        <v>4</v>
      </c>
      <c r="K60" s="26"/>
      <c r="L60" s="26" t="s">
        <v>350</v>
      </c>
      <c r="M60" s="26" t="s">
        <v>351</v>
      </c>
      <c r="N60" s="9" t="str">
        <f>LEFT(INDEX('2026_BUMCP_PANCREA_AFTER_KDY'!$A$1:$E$30,MATCH($H60,'2026_BUMCP_PANCREA_AFTER_KDY'!$A$1:$A$30),MATCH(I60,'2026_BUMCP_PANCREA_AFTER_KDY'!$A$1:$D$1)),30)</f>
        <v>FOLLOW UP CARE - From day 31 t</v>
      </c>
      <c r="O60" s="16">
        <v>8970</v>
      </c>
      <c r="P60" s="507">
        <f t="shared" si="12"/>
        <v>9262</v>
      </c>
    </row>
    <row r="61" spans="1:17">
      <c r="A61" s="1" t="e">
        <f ca="1">'2026_BUMCP_PANCREA_AFTER_KDY'!$A$1</f>
        <v>#VALUE!</v>
      </c>
      <c r="B61" s="14" t="e">
        <f t="shared" ca="1" si="0"/>
        <v>#VALUE!</v>
      </c>
      <c r="C61" s="1" t="s">
        <v>356</v>
      </c>
      <c r="D61" s="4" t="e" cm="1">
        <f t="array" aca="1" ref="D61" ca="1">RIGHT(INDIRECT(ADDRESS(6,2,,,$A61)),6)</f>
        <v>#VALUE!</v>
      </c>
      <c r="E61" s="1" t="e" cm="1">
        <f t="array" aca="1" ref="E61" ca="1">RIGHT(INDIRECT(ADDRESS(4,2,,,$A61)),5)</f>
        <v>#VALUE!</v>
      </c>
      <c r="F61" s="22">
        <v>1.0335000000000001</v>
      </c>
      <c r="G61" s="22">
        <f t="shared" si="1"/>
        <v>1.0325</v>
      </c>
      <c r="H61" s="7">
        <v>5</v>
      </c>
      <c r="I61" s="7">
        <v>3</v>
      </c>
      <c r="J61" s="26">
        <v>4</v>
      </c>
      <c r="K61" s="26"/>
      <c r="L61" s="26" t="s">
        <v>350</v>
      </c>
      <c r="M61" s="26" t="s">
        <v>351</v>
      </c>
      <c r="N61" s="9" t="str">
        <f>LEFT(INDEX('2026_BUMCP_PANCREA_AFTER_KDY'!$A$1:$E$30,MATCH($H61,'2026_BUMCP_PANCREA_AFTER_KDY'!$A$1:$A$30),MATCH(I61,'2026_BUMCP_PANCREA_AFTER_KDY'!$A$1:$D$1)),30)</f>
        <v xml:space="preserve">PER DIEM RATES for day 61+ of </v>
      </c>
      <c r="O61" s="16">
        <v>2474</v>
      </c>
      <c r="P61" s="507">
        <f t="shared" si="12"/>
        <v>2554</v>
      </c>
    </row>
    <row r="62" spans="1:17">
      <c r="A62" s="1" t="e">
        <f ca="1">'2026_BUMCP_PANCREA_AFTER_KDY'!$A$1</f>
        <v>#VALUE!</v>
      </c>
      <c r="B62" s="14" t="e">
        <f t="shared" ca="1" si="0"/>
        <v>#VALUE!</v>
      </c>
      <c r="C62" s="1" t="s">
        <v>356</v>
      </c>
      <c r="D62" s="4" t="e" cm="1">
        <f t="array" aca="1" ref="D62" ca="1">RIGHT(INDIRECT(ADDRESS(6,2,,,$A62)),6)</f>
        <v>#VALUE!</v>
      </c>
      <c r="E62" s="1" t="e" cm="1">
        <f t="array" aca="1" ref="E62" ca="1">RIGHT(INDIRECT(ADDRESS(4,2,,,$A62)),5)</f>
        <v>#VALUE!</v>
      </c>
      <c r="F62" s="22">
        <v>1.0335000000000001</v>
      </c>
      <c r="G62" s="22">
        <f t="shared" si="1"/>
        <v>1.0325</v>
      </c>
      <c r="H62" s="7">
        <v>6</v>
      </c>
      <c r="I62" s="7">
        <v>3</v>
      </c>
      <c r="J62" s="26">
        <v>4</v>
      </c>
      <c r="K62" s="26"/>
      <c r="L62" s="26" t="s">
        <v>350</v>
      </c>
      <c r="M62" s="26" t="s">
        <v>351</v>
      </c>
      <c r="N62" s="9" t="str">
        <f>LEFT(INDEX('2026_BUMCP_PANCREA_AFTER_KDY'!$A$1:$E$30,MATCH($H62,'2026_BUMCP_PANCREA_AFTER_KDY'!$A$1:$A$30),MATCH(I62,'2026_BUMCP_PANCREA_AFTER_KDY'!$A$1:$D$1)),30)</f>
        <v>Days 11+/61+ paid at the per d</v>
      </c>
      <c r="O62" s="16">
        <v>7263.18</v>
      </c>
      <c r="P62" s="509">
        <f>O62*$Q$2</f>
        <v>8014.1928120000002</v>
      </c>
      <c r="Q62" s="14" t="s">
        <v>352</v>
      </c>
    </row>
    <row r="63" spans="1:17">
      <c r="A63" s="1" t="e">
        <f ca="1">'2026_BUMCP_SIM_KIDNEY_PANCR'!$A$1</f>
        <v>#VALUE!</v>
      </c>
      <c r="B63" s="14" t="e">
        <f t="shared" ca="1" si="0"/>
        <v>#VALUE!</v>
      </c>
      <c r="C63" s="1" t="s">
        <v>356</v>
      </c>
      <c r="D63" s="4" t="e" cm="1">
        <f t="array" aca="1" ref="D63" ca="1">RIGHT(INDIRECT(ADDRESS(6,2,,,$A63)),6)</f>
        <v>#VALUE!</v>
      </c>
      <c r="E63" s="1" t="e" cm="1">
        <f t="array" aca="1" ref="E63" ca="1">RIGHT(INDIRECT(ADDRESS(4,2,,,$A63)),5)</f>
        <v>#VALUE!</v>
      </c>
      <c r="F63" s="22">
        <v>1.0335000000000001</v>
      </c>
      <c r="G63" s="22">
        <f t="shared" si="1"/>
        <v>1.0325</v>
      </c>
      <c r="H63" s="7">
        <v>1</v>
      </c>
      <c r="I63" s="7">
        <v>3</v>
      </c>
      <c r="J63" s="26">
        <v>4</v>
      </c>
      <c r="K63" s="26"/>
      <c r="L63" s="26" t="s">
        <v>350</v>
      </c>
      <c r="M63" s="26" t="s">
        <v>351</v>
      </c>
      <c r="N63" s="9" t="str">
        <f>LEFT(INDEX('2026_BUMCP_SIM_KIDNEY_PANCR'!$A$1:$E$30,MATCH($H63,'2026_BUMCP_SIM_KIDNEY_PANCR'!$A$1:$A$30),MATCH(I63,'2026_BUMCP_SIM_KIDNEY_PANCR'!$A$1:$D$1)),30)</f>
        <v>OUTPATIENT EVALUATION* - Initi</v>
      </c>
      <c r="O63" s="16">
        <v>5344</v>
      </c>
      <c r="P63" s="507">
        <f t="shared" ref="P63:P67" si="13">ROUND(O63*$G$2,0)</f>
        <v>5518</v>
      </c>
    </row>
    <row r="64" spans="1:17">
      <c r="A64" s="1" t="e">
        <f ca="1">'2026_BUMCP_SIM_KIDNEY_PANCR'!$A$1</f>
        <v>#VALUE!</v>
      </c>
      <c r="B64" s="14" t="e">
        <f t="shared" ca="1" si="0"/>
        <v>#VALUE!</v>
      </c>
      <c r="C64" s="1" t="s">
        <v>356</v>
      </c>
      <c r="D64" s="4" t="e" cm="1">
        <f t="array" aca="1" ref="D64" ca="1">RIGHT(INDIRECT(ADDRESS(6,2,,,$A64)),6)</f>
        <v>#VALUE!</v>
      </c>
      <c r="E64" s="1" t="e" cm="1">
        <f t="array" aca="1" ref="E64" ca="1">RIGHT(INDIRECT(ADDRESS(4,2,,,$A64)),5)</f>
        <v>#VALUE!</v>
      </c>
      <c r="F64" s="22">
        <v>1.0335000000000001</v>
      </c>
      <c r="G64" s="22">
        <f t="shared" si="1"/>
        <v>1.0325</v>
      </c>
      <c r="H64" s="7">
        <v>2</v>
      </c>
      <c r="I64" s="7">
        <v>3</v>
      </c>
      <c r="J64" s="26">
        <v>4</v>
      </c>
      <c r="K64" s="26"/>
      <c r="L64" s="26" t="s">
        <v>350</v>
      </c>
      <c r="M64" s="26" t="s">
        <v>351</v>
      </c>
      <c r="N64" s="9" t="str">
        <f>LEFT(INDEX('2026_BUMCP_SIM_KIDNEY_PANCR'!$A$1:$E$30,MATCH($H64,'2026_BUMCP_SIM_KIDNEY_PANCR'!$A$1:$A$30),MATCH(I64,'2026_BUMCP_SIM_KIDNEY_PANCR'!$A$1:$D$1)),30)</f>
        <v>PREP AND TRANSPLANT</v>
      </c>
      <c r="O64" s="16">
        <v>132003</v>
      </c>
      <c r="P64" s="507">
        <f t="shared" si="13"/>
        <v>136293</v>
      </c>
    </row>
    <row r="65" spans="1:17">
      <c r="A65" s="1" t="e">
        <f ca="1">'2026_BUMCP_SIM_KIDNEY_PANCR'!$A$1</f>
        <v>#VALUE!</v>
      </c>
      <c r="B65" s="14" t="e">
        <f t="shared" ca="1" si="0"/>
        <v>#VALUE!</v>
      </c>
      <c r="C65" s="1" t="s">
        <v>356</v>
      </c>
      <c r="D65" s="4" t="e" cm="1">
        <f t="array" aca="1" ref="D65" ca="1">RIGHT(INDIRECT(ADDRESS(6,2,,,$A65)),6)</f>
        <v>#VALUE!</v>
      </c>
      <c r="E65" s="1" t="e" cm="1">
        <f t="array" aca="1" ref="E65" ca="1">RIGHT(INDIRECT(ADDRESS(4,2,,,$A65)),5)</f>
        <v>#VALUE!</v>
      </c>
      <c r="F65" s="22">
        <v>1.0335000000000001</v>
      </c>
      <c r="G65" s="22">
        <f t="shared" si="1"/>
        <v>1.0325</v>
      </c>
      <c r="H65" s="7">
        <v>3</v>
      </c>
      <c r="I65" s="7">
        <v>3</v>
      </c>
      <c r="J65" s="26">
        <v>4</v>
      </c>
      <c r="K65" s="26"/>
      <c r="L65" s="26" t="s">
        <v>350</v>
      </c>
      <c r="M65" s="26" t="s">
        <v>351</v>
      </c>
      <c r="N65" s="9" t="str">
        <f>LEFT(INDEX('2026_BUMCP_SIM_KIDNEY_PANCR'!$A$1:$E$30,MATCH($H65,'2026_BUMCP_SIM_KIDNEY_PANCR'!$A$1:$A$30),MATCH(I65,'2026_BUMCP_SIM_KIDNEY_PANCR'!$A$1:$D$1)),30)</f>
        <v>FOLLOW UP CARE - From day 1 po</v>
      </c>
      <c r="O65" s="16">
        <v>53479</v>
      </c>
      <c r="P65" s="507">
        <f t="shared" si="13"/>
        <v>55217</v>
      </c>
    </row>
    <row r="66" spans="1:17">
      <c r="A66" s="1" t="e">
        <f ca="1">'2026_BUMCP_SIM_KIDNEY_PANCR'!$A$1</f>
        <v>#VALUE!</v>
      </c>
      <c r="B66" s="14" t="e">
        <f t="shared" ca="1" si="0"/>
        <v>#VALUE!</v>
      </c>
      <c r="C66" s="1" t="s">
        <v>356</v>
      </c>
      <c r="D66" s="4" t="e" cm="1">
        <f t="array" aca="1" ref="D66" ca="1">RIGHT(INDIRECT(ADDRESS(6,2,,,$A66)),6)</f>
        <v>#VALUE!</v>
      </c>
      <c r="E66" s="1" t="e" cm="1">
        <f t="array" aca="1" ref="E66" ca="1">RIGHT(INDIRECT(ADDRESS(4,2,,,$A66)),5)</f>
        <v>#VALUE!</v>
      </c>
      <c r="F66" s="22">
        <v>1.0335000000000001</v>
      </c>
      <c r="G66" s="22">
        <f t="shared" si="1"/>
        <v>1.0325</v>
      </c>
      <c r="H66" s="7">
        <v>4</v>
      </c>
      <c r="I66" s="7">
        <v>3</v>
      </c>
      <c r="J66" s="26">
        <v>4</v>
      </c>
      <c r="K66" s="26"/>
      <c r="L66" s="26" t="s">
        <v>350</v>
      </c>
      <c r="M66" s="26" t="s">
        <v>351</v>
      </c>
      <c r="N66" s="9" t="str">
        <f>LEFT(INDEX('2026_BUMCP_SIM_KIDNEY_PANCR'!$A$1:$E$30,MATCH($H66,'2026_BUMCP_SIM_KIDNEY_PANCR'!$A$1:$A$30),MATCH(I66,'2026_BUMCP_SIM_KIDNEY_PANCR'!$A$1:$D$1)),30)</f>
        <v>FOLLOW UP CARE - From day 31 t</v>
      </c>
      <c r="O66" s="16">
        <v>10069</v>
      </c>
      <c r="P66" s="507">
        <f t="shared" si="13"/>
        <v>10396</v>
      </c>
    </row>
    <row r="67" spans="1:17">
      <c r="A67" s="1" t="e">
        <f ca="1">'2026_BUMCP_SIM_KIDNEY_PANCR'!$A$1</f>
        <v>#VALUE!</v>
      </c>
      <c r="B67" s="14" t="e">
        <f t="shared" ca="1" si="0"/>
        <v>#VALUE!</v>
      </c>
      <c r="C67" s="1" t="s">
        <v>356</v>
      </c>
      <c r="D67" s="4" t="e" cm="1">
        <f t="array" aca="1" ref="D67" ca="1">RIGHT(INDIRECT(ADDRESS(6,2,,,$A67)),6)</f>
        <v>#VALUE!</v>
      </c>
      <c r="E67" s="1" t="e" cm="1">
        <f t="array" aca="1" ref="E67" ca="1">RIGHT(INDIRECT(ADDRESS(4,2,,,$A67)),5)</f>
        <v>#VALUE!</v>
      </c>
      <c r="F67" s="22">
        <v>1.0335000000000001</v>
      </c>
      <c r="G67" s="22">
        <f t="shared" si="1"/>
        <v>1.0325</v>
      </c>
      <c r="H67" s="7">
        <v>5</v>
      </c>
      <c r="I67" s="7">
        <v>3</v>
      </c>
      <c r="J67" s="26">
        <v>4</v>
      </c>
      <c r="K67" s="26"/>
      <c r="L67" s="26" t="s">
        <v>350</v>
      </c>
      <c r="M67" s="26" t="s">
        <v>351</v>
      </c>
      <c r="N67" s="9" t="str">
        <f>LEFT(INDEX('2026_BUMCP_SIM_KIDNEY_PANCR'!$A$1:$E$30,MATCH($H67,'2026_BUMCP_SIM_KIDNEY_PANCR'!$A$1:$A$30),MATCH(I67,'2026_BUMCP_SIM_KIDNEY_PANCR'!$A$1:$D$1)),30)</f>
        <v xml:space="preserve">PER DIEM RATES for day 61+ of </v>
      </c>
      <c r="O67" s="16">
        <v>2474</v>
      </c>
      <c r="P67" s="507">
        <f t="shared" si="13"/>
        <v>2554</v>
      </c>
    </row>
    <row r="68" spans="1:17">
      <c r="A68" s="1" t="e">
        <f ca="1">'2026_BUMCP_SIM_KIDNEY_PANCR'!$A$1</f>
        <v>#VALUE!</v>
      </c>
      <c r="B68" s="14" t="e">
        <f t="shared" ca="1" si="0"/>
        <v>#VALUE!</v>
      </c>
      <c r="C68" s="1" t="s">
        <v>356</v>
      </c>
      <c r="D68" s="4" t="e" cm="1">
        <f t="array" aca="1" ref="D68" ca="1">RIGHT(INDIRECT(ADDRESS(6,2,,,$A68)),6)</f>
        <v>#VALUE!</v>
      </c>
      <c r="E68" s="1" t="e" cm="1">
        <f t="array" aca="1" ref="E68" ca="1">RIGHT(INDIRECT(ADDRESS(4,2,,,$A68)),5)</f>
        <v>#VALUE!</v>
      </c>
      <c r="F68" s="22">
        <v>1.0335000000000001</v>
      </c>
      <c r="G68" s="22">
        <f t="shared" si="1"/>
        <v>1.0325</v>
      </c>
      <c r="H68" s="7">
        <v>6</v>
      </c>
      <c r="I68" s="7">
        <v>3</v>
      </c>
      <c r="J68" s="26">
        <v>4</v>
      </c>
      <c r="K68" s="26"/>
      <c r="L68" s="26" t="s">
        <v>350</v>
      </c>
      <c r="M68" s="26" t="s">
        <v>351</v>
      </c>
      <c r="N68" s="9" t="str">
        <f>LEFT(INDEX('2026_BUMCP_SIM_KIDNEY_PANCR'!$A$1:$E$30,MATCH($H68,'2026_BUMCP_SIM_KIDNEY_PANCR'!$A$1:$A$30),MATCH(I68,'2026_BUMCP_SIM_KIDNEY_PANCR'!$A$1:$D$1)),30)</f>
        <v>Days 11+/61+ paid at the per d</v>
      </c>
      <c r="O68" s="16">
        <v>7263.18</v>
      </c>
      <c r="P68" s="509">
        <f>O68*$Q$2</f>
        <v>8014.1928120000002</v>
      </c>
      <c r="Q68" s="14" t="s">
        <v>352</v>
      </c>
    </row>
    <row r="69" spans="1:17">
      <c r="A69" s="1" t="e">
        <f ca="1">'2026_BUMCP_CAD_LIVER'!$A$1</f>
        <v>#VALUE!</v>
      </c>
      <c r="B69" s="14" t="e">
        <f t="shared" ref="B69:B132" ca="1" si="14">IF(A69=A68,0,1)</f>
        <v>#VALUE!</v>
      </c>
      <c r="C69" s="1" t="s">
        <v>356</v>
      </c>
      <c r="D69" s="4" t="e" cm="1">
        <f t="array" aca="1" ref="D69" ca="1">RIGHT(INDIRECT(ADDRESS(6,2,,,$A69)),6)</f>
        <v>#VALUE!</v>
      </c>
      <c r="E69" s="1" t="e" cm="1">
        <f t="array" aca="1" ref="E69" ca="1">RIGHT(INDIRECT(ADDRESS(4,2,,,$A69)),5)</f>
        <v>#VALUE!</v>
      </c>
      <c r="F69" s="22">
        <v>1.0335000000000001</v>
      </c>
      <c r="G69" s="22">
        <f t="shared" ref="G69:G132" si="15">$G$2</f>
        <v>1.0325</v>
      </c>
      <c r="H69" s="7">
        <v>1</v>
      </c>
      <c r="I69" s="7">
        <v>3</v>
      </c>
      <c r="J69" s="26">
        <v>4</v>
      </c>
      <c r="K69" s="26"/>
      <c r="L69" s="26" t="s">
        <v>350</v>
      </c>
      <c r="M69" s="26" t="s">
        <v>351</v>
      </c>
      <c r="N69" s="9" t="str">
        <f>LEFT(INDEX('2026_BUMCP_CAD_LIVER'!$A$1:$E$30,MATCH($H69,'2026_BUMCP_CAD_LIVER'!$A$1:$A$30),MATCH(I69,'2026_BUMCP_CAD_LIVER'!$A$1:$D$1)),30)</f>
        <v>OUTPATIENT EVALUATION* - Initi</v>
      </c>
      <c r="O69" s="16">
        <v>7765</v>
      </c>
      <c r="P69" s="507">
        <f t="shared" ref="P69:P73" si="16">ROUND(O69*$G$2,0)</f>
        <v>8017</v>
      </c>
    </row>
    <row r="70" spans="1:17">
      <c r="A70" s="1" t="e">
        <f ca="1">'2026_BUMCP_CAD_LIVER'!$A$1</f>
        <v>#VALUE!</v>
      </c>
      <c r="B70" s="14" t="e">
        <f t="shared" ca="1" si="14"/>
        <v>#VALUE!</v>
      </c>
      <c r="C70" s="1" t="s">
        <v>356</v>
      </c>
      <c r="D70" s="4" t="e" cm="1">
        <f t="array" aca="1" ref="D70" ca="1">RIGHT(INDIRECT(ADDRESS(6,2,,,$A70)),6)</f>
        <v>#VALUE!</v>
      </c>
      <c r="E70" s="1" t="e" cm="1">
        <f t="array" aca="1" ref="E70" ca="1">RIGHT(INDIRECT(ADDRESS(4,2,,,$A70)),5)</f>
        <v>#VALUE!</v>
      </c>
      <c r="F70" s="22">
        <v>1.0335000000000001</v>
      </c>
      <c r="G70" s="22">
        <f t="shared" si="15"/>
        <v>1.0325</v>
      </c>
      <c r="H70" s="7">
        <v>2</v>
      </c>
      <c r="I70" s="7">
        <v>3</v>
      </c>
      <c r="J70" s="26">
        <v>4</v>
      </c>
      <c r="K70" s="26"/>
      <c r="L70" s="26" t="s">
        <v>350</v>
      </c>
      <c r="M70" s="26" t="s">
        <v>351</v>
      </c>
      <c r="N70" s="9" t="str">
        <f>LEFT(INDEX('2026_BUMCP_CAD_LIVER'!$A$1:$E$30,MATCH($H70,'2026_BUMCP_CAD_LIVER'!$A$1:$A$30),MATCH(I70,'2026_BUMCP_CAD_LIVER'!$A$1:$D$1)),30)</f>
        <v>PREP AND TRANSPLANT</v>
      </c>
      <c r="O70" s="16">
        <v>164771</v>
      </c>
      <c r="P70" s="507">
        <f t="shared" si="16"/>
        <v>170126</v>
      </c>
    </row>
    <row r="71" spans="1:17">
      <c r="A71" s="1" t="e">
        <f ca="1">'2026_BUMCP_CAD_LIVER'!$A$1</f>
        <v>#VALUE!</v>
      </c>
      <c r="B71" s="14" t="e">
        <f t="shared" ca="1" si="14"/>
        <v>#VALUE!</v>
      </c>
      <c r="C71" s="1" t="s">
        <v>356</v>
      </c>
      <c r="D71" s="4" t="e" cm="1">
        <f t="array" aca="1" ref="D71" ca="1">RIGHT(INDIRECT(ADDRESS(6,2,,,$A71)),6)</f>
        <v>#VALUE!</v>
      </c>
      <c r="E71" s="1" t="e" cm="1">
        <f t="array" aca="1" ref="E71" ca="1">RIGHT(INDIRECT(ADDRESS(4,2,,,$A71)),5)</f>
        <v>#VALUE!</v>
      </c>
      <c r="F71" s="22">
        <v>1.0335000000000001</v>
      </c>
      <c r="G71" s="22">
        <f t="shared" si="15"/>
        <v>1.0325</v>
      </c>
      <c r="H71" s="7">
        <v>3</v>
      </c>
      <c r="I71" s="7">
        <v>3</v>
      </c>
      <c r="J71" s="26">
        <v>4</v>
      </c>
      <c r="K71" s="26"/>
      <c r="L71" s="26" t="s">
        <v>350</v>
      </c>
      <c r="M71" s="26" t="s">
        <v>351</v>
      </c>
      <c r="N71" s="9" t="str">
        <f>LEFT(INDEX('2026_BUMCP_CAD_LIVER'!$A$1:$E$30,MATCH($H71,'2026_BUMCP_CAD_LIVER'!$A$1:$A$30),MATCH(I71,'2026_BUMCP_CAD_LIVER'!$A$1:$D$1)),30)</f>
        <v>FOLLOW UP CARE - From day 1 po</v>
      </c>
      <c r="O71" s="16">
        <v>76158</v>
      </c>
      <c r="P71" s="507">
        <f t="shared" si="16"/>
        <v>78633</v>
      </c>
    </row>
    <row r="72" spans="1:17">
      <c r="A72" s="1" t="e">
        <f ca="1">'2026_BUMCP_CAD_LIVER'!$A$1</f>
        <v>#VALUE!</v>
      </c>
      <c r="B72" s="14" t="e">
        <f t="shared" ca="1" si="14"/>
        <v>#VALUE!</v>
      </c>
      <c r="C72" s="1" t="s">
        <v>356</v>
      </c>
      <c r="D72" s="4" t="e" cm="1">
        <f t="array" aca="1" ref="D72" ca="1">RIGHT(INDIRECT(ADDRESS(6,2,,,$A72)),6)</f>
        <v>#VALUE!</v>
      </c>
      <c r="E72" s="1" t="e" cm="1">
        <f t="array" aca="1" ref="E72" ca="1">RIGHT(INDIRECT(ADDRESS(4,2,,,$A72)),5)</f>
        <v>#VALUE!</v>
      </c>
      <c r="F72" s="22">
        <v>1.0335000000000001</v>
      </c>
      <c r="G72" s="22">
        <f t="shared" si="15"/>
        <v>1.0325</v>
      </c>
      <c r="H72" s="7">
        <v>4</v>
      </c>
      <c r="I72" s="7">
        <v>3</v>
      </c>
      <c r="J72" s="26">
        <v>4</v>
      </c>
      <c r="K72" s="26"/>
      <c r="L72" s="26" t="s">
        <v>350</v>
      </c>
      <c r="M72" s="26" t="s">
        <v>351</v>
      </c>
      <c r="N72" s="9" t="str">
        <f>LEFT(INDEX('2026_BUMCP_CAD_LIVER'!$A$1:$E$30,MATCH($H72,'2026_BUMCP_CAD_LIVER'!$A$1:$A$30),MATCH(I72,'2026_BUMCP_CAD_LIVER'!$A$1:$D$1)),30)</f>
        <v xml:space="preserve">FOLLOW UP CARE - From day 31  </v>
      </c>
      <c r="O72" s="16">
        <v>38077</v>
      </c>
      <c r="P72" s="507">
        <f t="shared" si="16"/>
        <v>39315</v>
      </c>
    </row>
    <row r="73" spans="1:17">
      <c r="A73" s="1" t="e">
        <f ca="1">'2026_BUMCP_CAD_LIVER'!$A$1</f>
        <v>#VALUE!</v>
      </c>
      <c r="B73" s="14" t="e">
        <f t="shared" ca="1" si="14"/>
        <v>#VALUE!</v>
      </c>
      <c r="C73" s="1" t="s">
        <v>356</v>
      </c>
      <c r="D73" s="4" t="e" cm="1">
        <f t="array" aca="1" ref="D73" ca="1">RIGHT(INDIRECT(ADDRESS(6,2,,,$A73)),6)</f>
        <v>#VALUE!</v>
      </c>
      <c r="E73" s="1" t="e" cm="1">
        <f t="array" aca="1" ref="E73" ca="1">RIGHT(INDIRECT(ADDRESS(4,2,,,$A73)),5)</f>
        <v>#VALUE!</v>
      </c>
      <c r="F73" s="22">
        <v>1.0335000000000001</v>
      </c>
      <c r="G73" s="22">
        <f t="shared" si="15"/>
        <v>1.0325</v>
      </c>
      <c r="H73" s="7">
        <v>5</v>
      </c>
      <c r="I73" s="7">
        <v>3</v>
      </c>
      <c r="J73" s="26">
        <v>4</v>
      </c>
      <c r="K73" s="26"/>
      <c r="L73" s="26" t="s">
        <v>350</v>
      </c>
      <c r="M73" s="26" t="s">
        <v>351</v>
      </c>
      <c r="N73" s="9" t="str">
        <f>LEFT(INDEX('2026_BUMCP_CAD_LIVER'!$A$1:$E$30,MATCH($H73,'2026_BUMCP_CAD_LIVER'!$A$1:$A$30),MATCH(I73,'2026_BUMCP_CAD_LIVER'!$A$1:$D$1)),30)</f>
        <v xml:space="preserve">PER DIEM RATES for day 61+ of </v>
      </c>
      <c r="O73" s="16">
        <v>2474</v>
      </c>
      <c r="P73" s="507">
        <f t="shared" si="16"/>
        <v>2554</v>
      </c>
    </row>
    <row r="74" spans="1:17">
      <c r="A74" s="1" t="e">
        <f ca="1">'2026_BUMCP_CAD_LIVER'!$A$1</f>
        <v>#VALUE!</v>
      </c>
      <c r="B74" s="14" t="e">
        <f t="shared" ca="1" si="14"/>
        <v>#VALUE!</v>
      </c>
      <c r="C74" s="1" t="s">
        <v>356</v>
      </c>
      <c r="D74" s="4" t="e" cm="1">
        <f t="array" aca="1" ref="D74" ca="1">RIGHT(INDIRECT(ADDRESS(6,2,,,$A74)),6)</f>
        <v>#VALUE!</v>
      </c>
      <c r="E74" s="1" t="e" cm="1">
        <f t="array" aca="1" ref="E74" ca="1">RIGHT(INDIRECT(ADDRESS(4,2,,,$A74)),5)</f>
        <v>#VALUE!</v>
      </c>
      <c r="F74" s="22">
        <v>1.0335000000000001</v>
      </c>
      <c r="G74" s="22">
        <f t="shared" si="15"/>
        <v>1.0325</v>
      </c>
      <c r="H74" s="7">
        <v>6</v>
      </c>
      <c r="I74" s="7">
        <v>3</v>
      </c>
      <c r="J74" s="26">
        <v>4</v>
      </c>
      <c r="K74" s="26"/>
      <c r="L74" s="26" t="s">
        <v>350</v>
      </c>
      <c r="M74" s="26" t="s">
        <v>351</v>
      </c>
      <c r="N74" s="9" t="str">
        <f>LEFT(INDEX('2026_BUMCP_CAD_LIVER'!$A$1:$E$30,MATCH($H74,'2026_BUMCP_CAD_LIVER'!$A$1:$A$30),MATCH(I74,'2026_BUMCP_CAD_LIVER'!$A$1:$D$1)),30)</f>
        <v>Days 11+/61+ paid at the per d</v>
      </c>
      <c r="O74" s="16">
        <v>7263.18</v>
      </c>
      <c r="P74" s="509">
        <f>O74*$Q$2</f>
        <v>8014.1928120000002</v>
      </c>
      <c r="Q74" s="14" t="s">
        <v>352</v>
      </c>
    </row>
    <row r="75" spans="1:17">
      <c r="A75" s="1" t="e">
        <f ca="1">'2026_BUMCP_SIMUL_CAD_LIV_KDY'!$A$1</f>
        <v>#VALUE!</v>
      </c>
      <c r="B75" s="14" t="e">
        <f t="shared" ca="1" si="14"/>
        <v>#VALUE!</v>
      </c>
      <c r="C75" s="1" t="s">
        <v>356</v>
      </c>
      <c r="D75" s="4" t="e" cm="1">
        <f t="array" aca="1" ref="D75" ca="1">RIGHT(INDIRECT(ADDRESS(6,2,,,$A75)),6)</f>
        <v>#VALUE!</v>
      </c>
      <c r="E75" s="1" t="e" cm="1">
        <f t="array" aca="1" ref="E75" ca="1">RIGHT(INDIRECT(ADDRESS(4,2,,,$A75)),5)</f>
        <v>#VALUE!</v>
      </c>
      <c r="F75" s="22">
        <v>1.0335000000000001</v>
      </c>
      <c r="G75" s="22">
        <f t="shared" si="15"/>
        <v>1.0325</v>
      </c>
      <c r="H75" s="7">
        <v>1</v>
      </c>
      <c r="I75" s="7">
        <v>3</v>
      </c>
      <c r="J75" s="26">
        <v>4</v>
      </c>
      <c r="K75" s="26"/>
      <c r="L75" s="26" t="s">
        <v>350</v>
      </c>
      <c r="M75" s="26" t="s">
        <v>351</v>
      </c>
      <c r="N75" s="9" t="str">
        <f>LEFT(INDEX('2026_BUMCP_SIMUL_CAD_LIV_KDY'!$A$1:$E$30,MATCH($H75,'2026_BUMCP_SIMUL_CAD_LIV_KDY'!$A$1:$A$30),MATCH(I75,'2026_BUMCP_SIMUL_CAD_LIV_KDY'!$A$1:$D$1)),30)</f>
        <v>OUTPATIENT EVALUATION* - Initi</v>
      </c>
      <c r="O75" s="16">
        <v>8011</v>
      </c>
      <c r="P75" s="507">
        <f t="shared" ref="P75:P79" si="17">ROUND(O75*$G$2,0)</f>
        <v>8271</v>
      </c>
    </row>
    <row r="76" spans="1:17">
      <c r="A76" s="1" t="e">
        <f ca="1">'2026_BUMCP_SIMUL_CAD_LIV_KDY'!$A$1</f>
        <v>#VALUE!</v>
      </c>
      <c r="B76" s="14" t="e">
        <f t="shared" ca="1" si="14"/>
        <v>#VALUE!</v>
      </c>
      <c r="C76" s="1" t="s">
        <v>356</v>
      </c>
      <c r="D76" s="4" t="e" cm="1">
        <f t="array" aca="1" ref="D76" ca="1">RIGHT(INDIRECT(ADDRESS(6,2,,,$A76)),6)</f>
        <v>#VALUE!</v>
      </c>
      <c r="E76" s="1" t="e" cm="1">
        <f t="array" aca="1" ref="E76" ca="1">RIGHT(INDIRECT(ADDRESS(4,2,,,$A76)),5)</f>
        <v>#VALUE!</v>
      </c>
      <c r="F76" s="22">
        <v>1.0335000000000001</v>
      </c>
      <c r="G76" s="22">
        <f t="shared" si="15"/>
        <v>1.0325</v>
      </c>
      <c r="H76" s="7">
        <v>2</v>
      </c>
      <c r="I76" s="7">
        <v>3</v>
      </c>
      <c r="J76" s="26">
        <v>4</v>
      </c>
      <c r="K76" s="26"/>
      <c r="L76" s="26" t="s">
        <v>350</v>
      </c>
      <c r="M76" s="26" t="s">
        <v>351</v>
      </c>
      <c r="N76" s="9" t="str">
        <f>LEFT(INDEX('2026_BUMCP_SIMUL_CAD_LIV_KDY'!$A$1:$E$30,MATCH($H76,'2026_BUMCP_SIMUL_CAD_LIV_KDY'!$A$1:$A$30),MATCH(I76,'2026_BUMCP_SIMUL_CAD_LIV_KDY'!$A$1:$D$1)),30)</f>
        <v>PREP AND TRANSPLANT</v>
      </c>
      <c r="O76" s="16">
        <v>217604</v>
      </c>
      <c r="P76" s="507">
        <f t="shared" si="17"/>
        <v>224676</v>
      </c>
    </row>
    <row r="77" spans="1:17">
      <c r="A77" s="1" t="e">
        <f ca="1">'2026_BUMCP_SIMUL_CAD_LIV_KDY'!$A$1</f>
        <v>#VALUE!</v>
      </c>
      <c r="B77" s="14" t="e">
        <f t="shared" ca="1" si="14"/>
        <v>#VALUE!</v>
      </c>
      <c r="C77" s="1" t="s">
        <v>356</v>
      </c>
      <c r="D77" s="4" t="e" cm="1">
        <f t="array" aca="1" ref="D77" ca="1">RIGHT(INDIRECT(ADDRESS(6,2,,,$A77)),6)</f>
        <v>#VALUE!</v>
      </c>
      <c r="E77" s="1" t="e" cm="1">
        <f t="array" aca="1" ref="E77" ca="1">RIGHT(INDIRECT(ADDRESS(4,2,,,$A77)),5)</f>
        <v>#VALUE!</v>
      </c>
      <c r="F77" s="22">
        <v>1.0335000000000001</v>
      </c>
      <c r="G77" s="22">
        <f t="shared" si="15"/>
        <v>1.0325</v>
      </c>
      <c r="H77" s="7">
        <v>3</v>
      </c>
      <c r="I77" s="7">
        <v>3</v>
      </c>
      <c r="J77" s="26">
        <v>4</v>
      </c>
      <c r="K77" s="26"/>
      <c r="L77" s="26" t="s">
        <v>350</v>
      </c>
      <c r="M77" s="26" t="s">
        <v>351</v>
      </c>
      <c r="N77" s="9" t="str">
        <f>LEFT(INDEX('2026_BUMCP_SIMUL_CAD_LIV_KDY'!$A$1:$E$30,MATCH($H77,'2026_BUMCP_SIMUL_CAD_LIV_KDY'!$A$1:$A$30),MATCH(I77,'2026_BUMCP_SIMUL_CAD_LIV_KDY'!$A$1:$D$1)),30)</f>
        <v>FOLLOW UP CARE - From day 1 po</v>
      </c>
      <c r="O77" s="16">
        <v>117813</v>
      </c>
      <c r="P77" s="507">
        <f t="shared" si="17"/>
        <v>121642</v>
      </c>
    </row>
    <row r="78" spans="1:17">
      <c r="A78" s="1" t="e">
        <f ca="1">'2026_BUMCP_SIMUL_CAD_LIV_KDY'!$A$1</f>
        <v>#VALUE!</v>
      </c>
      <c r="B78" s="14" t="e">
        <f t="shared" ca="1" si="14"/>
        <v>#VALUE!</v>
      </c>
      <c r="C78" s="1" t="s">
        <v>356</v>
      </c>
      <c r="D78" s="4" t="e" cm="1">
        <f t="array" aca="1" ref="D78" ca="1">RIGHT(INDIRECT(ADDRESS(6,2,,,$A78)),6)</f>
        <v>#VALUE!</v>
      </c>
      <c r="E78" s="1" t="e" cm="1">
        <f t="array" aca="1" ref="E78" ca="1">RIGHT(INDIRECT(ADDRESS(4,2,,,$A78)),5)</f>
        <v>#VALUE!</v>
      </c>
      <c r="F78" s="22">
        <v>1.0335000000000001</v>
      </c>
      <c r="G78" s="22">
        <f t="shared" si="15"/>
        <v>1.0325</v>
      </c>
      <c r="H78" s="7">
        <v>4</v>
      </c>
      <c r="I78" s="7">
        <v>3</v>
      </c>
      <c r="J78" s="26">
        <v>4</v>
      </c>
      <c r="K78" s="26"/>
      <c r="L78" s="26" t="s">
        <v>350</v>
      </c>
      <c r="M78" s="26" t="s">
        <v>351</v>
      </c>
      <c r="N78" s="9" t="str">
        <f>LEFT(INDEX('2026_BUMCP_SIMUL_CAD_LIV_KDY'!$A$1:$E$30,MATCH($H78,'2026_BUMCP_SIMUL_CAD_LIV_KDY'!$A$1:$A$30),MATCH(I78,'2026_BUMCP_SIMUL_CAD_LIV_KDY'!$A$1:$D$1)),30)</f>
        <v xml:space="preserve">FOLLOW UP CARE - From day 31  </v>
      </c>
      <c r="O78" s="16">
        <v>42696</v>
      </c>
      <c r="P78" s="507">
        <f t="shared" si="17"/>
        <v>44084</v>
      </c>
    </row>
    <row r="79" spans="1:17">
      <c r="A79" s="1" t="e">
        <f ca="1">'2026_BUMCP_SIMUL_CAD_LIV_KDY'!$A$1</f>
        <v>#VALUE!</v>
      </c>
      <c r="B79" s="14" t="e">
        <f t="shared" ca="1" si="14"/>
        <v>#VALUE!</v>
      </c>
      <c r="C79" s="1" t="s">
        <v>356</v>
      </c>
      <c r="D79" s="4" t="e" cm="1">
        <f t="array" aca="1" ref="D79" ca="1">RIGHT(INDIRECT(ADDRESS(6,2,,,$A79)),6)</f>
        <v>#VALUE!</v>
      </c>
      <c r="E79" s="1" t="e" cm="1">
        <f t="array" aca="1" ref="E79" ca="1">RIGHT(INDIRECT(ADDRESS(4,2,,,$A79)),5)</f>
        <v>#VALUE!</v>
      </c>
      <c r="F79" s="22">
        <v>1.0335000000000001</v>
      </c>
      <c r="G79" s="22">
        <f t="shared" si="15"/>
        <v>1.0325</v>
      </c>
      <c r="H79" s="7">
        <v>5</v>
      </c>
      <c r="I79" s="7">
        <v>3</v>
      </c>
      <c r="J79" s="26">
        <v>4</v>
      </c>
      <c r="K79" s="26"/>
      <c r="L79" s="26" t="s">
        <v>350</v>
      </c>
      <c r="M79" s="26" t="s">
        <v>351</v>
      </c>
      <c r="N79" s="9" t="str">
        <f>LEFT(INDEX('2026_BUMCP_SIMUL_CAD_LIV_KDY'!$A$1:$E$30,MATCH($H79,'2026_BUMCP_SIMUL_CAD_LIV_KDY'!$A$1:$A$30),MATCH(I79,'2026_BUMCP_SIMUL_CAD_LIV_KDY'!$A$1:$D$1)),30)</f>
        <v xml:space="preserve">PER DIEM RATES for day 61+ of </v>
      </c>
      <c r="O79" s="16">
        <v>2474</v>
      </c>
      <c r="P79" s="507">
        <f t="shared" si="17"/>
        <v>2554</v>
      </c>
    </row>
    <row r="80" spans="1:17">
      <c r="A80" s="1" t="e">
        <f ca="1">'2026_BUMCP_SIMUL_CAD_LIV_KDY'!$A$1</f>
        <v>#VALUE!</v>
      </c>
      <c r="B80" s="14" t="e">
        <f t="shared" ca="1" si="14"/>
        <v>#VALUE!</v>
      </c>
      <c r="C80" s="1" t="s">
        <v>356</v>
      </c>
      <c r="D80" s="4" t="e" cm="1">
        <f t="array" aca="1" ref="D80" ca="1">RIGHT(INDIRECT(ADDRESS(6,2,,,$A80)),6)</f>
        <v>#VALUE!</v>
      </c>
      <c r="E80" s="1" t="e" cm="1">
        <f t="array" aca="1" ref="E80" ca="1">RIGHT(INDIRECT(ADDRESS(4,2,,,$A80)),5)</f>
        <v>#VALUE!</v>
      </c>
      <c r="F80" s="22">
        <v>1.0335000000000001</v>
      </c>
      <c r="G80" s="22">
        <f t="shared" si="15"/>
        <v>1.0325</v>
      </c>
      <c r="H80" s="7">
        <v>6</v>
      </c>
      <c r="I80" s="7">
        <v>3</v>
      </c>
      <c r="J80" s="26">
        <v>4</v>
      </c>
      <c r="K80" s="26"/>
      <c r="L80" s="26" t="s">
        <v>350</v>
      </c>
      <c r="M80" s="26" t="s">
        <v>351</v>
      </c>
      <c r="N80" s="9" t="str">
        <f>LEFT(INDEX('2026_BUMCP_SIMUL_CAD_LIV_KDY'!$A$1:$E$30,MATCH($H80,'2026_BUMCP_SIMUL_CAD_LIV_KDY'!$A$1:$A$30),MATCH(I80,'2026_BUMCP_SIMUL_CAD_LIV_KDY'!$A$1:$D$1)),30)</f>
        <v>Days 11+/61+ paid at the per d</v>
      </c>
      <c r="O80" s="16">
        <v>7263.18</v>
      </c>
      <c r="P80" s="509">
        <f>O80*$Q$2</f>
        <v>8014.1928120000002</v>
      </c>
      <c r="Q80" s="14" t="s">
        <v>352</v>
      </c>
    </row>
    <row r="81" spans="1:17">
      <c r="A81" s="1" t="e">
        <f ca="1">'2026_BUMCT_AUT_PEDS'!$A$1</f>
        <v>#VALUE!</v>
      </c>
      <c r="B81" s="14" t="e">
        <f t="shared" ca="1" si="14"/>
        <v>#VALUE!</v>
      </c>
      <c r="C81" s="1" t="s">
        <v>357</v>
      </c>
      <c r="D81" s="4" t="e" cm="1">
        <f t="array" aca="1" ref="D81" ca="1">RIGHT(INDIRECT(ADDRESS(6,2,,,$A81)),6)</f>
        <v>#VALUE!</v>
      </c>
      <c r="E81" s="1" t="e" cm="1">
        <f t="array" aca="1" ref="E81" ca="1">RIGHT(INDIRECT(ADDRESS(4,2,,,$A81)),5)</f>
        <v>#VALUE!</v>
      </c>
      <c r="F81" s="22">
        <v>1.0335000000000001</v>
      </c>
      <c r="G81" s="22">
        <f t="shared" si="15"/>
        <v>1.0325</v>
      </c>
      <c r="H81" s="7">
        <v>1</v>
      </c>
      <c r="I81" s="7">
        <v>3</v>
      </c>
      <c r="J81" s="26">
        <v>4</v>
      </c>
      <c r="K81" s="26"/>
      <c r="L81" s="26" t="s">
        <v>350</v>
      </c>
      <c r="M81" s="26" t="s">
        <v>351</v>
      </c>
      <c r="N81" s="9" t="str">
        <f>LEFT(INDEX('2026_BUMCT_AUT_PEDS'!$A$1:$E$30,MATCH($H81,'2026_BUMCT_AUT_PEDS'!$A$1:$A$30),MATCH(I81,'2026_BUMCT_AUT_PEDS'!$A$1:$D$1)),30)</f>
        <v>OUTPATIENT EVALUATION* - Initi</v>
      </c>
      <c r="O81" s="16">
        <v>6304</v>
      </c>
      <c r="P81" s="507">
        <f t="shared" ref="P81:P86" si="18">ROUND(O81*$G$2,0)</f>
        <v>6509</v>
      </c>
    </row>
    <row r="82" spans="1:17">
      <c r="A82" s="1" t="e">
        <f ca="1">'2026_BUMCT_AUT_PEDS'!$A$1</f>
        <v>#VALUE!</v>
      </c>
      <c r="B82" s="14" t="e">
        <f t="shared" ca="1" si="14"/>
        <v>#VALUE!</v>
      </c>
      <c r="C82" s="1" t="s">
        <v>357</v>
      </c>
      <c r="D82" s="4" t="e" cm="1">
        <f t="array" aca="1" ref="D82" ca="1">RIGHT(INDIRECT(ADDRESS(6,2,,,$A82)),6)</f>
        <v>#VALUE!</v>
      </c>
      <c r="E82" s="1" t="e" cm="1">
        <f t="array" aca="1" ref="E82" ca="1">RIGHT(INDIRECT(ADDRESS(4,2,,,$A82)),5)</f>
        <v>#VALUE!</v>
      </c>
      <c r="F82" s="22">
        <v>1.0335000000000001</v>
      </c>
      <c r="G82" s="22">
        <f t="shared" si="15"/>
        <v>1.0325</v>
      </c>
      <c r="H82" s="7">
        <v>2</v>
      </c>
      <c r="I82" s="7">
        <v>3</v>
      </c>
      <c r="J82" s="26">
        <v>4</v>
      </c>
      <c r="K82" s="26"/>
      <c r="L82" s="26" t="s">
        <v>350</v>
      </c>
      <c r="M82" s="26" t="s">
        <v>351</v>
      </c>
      <c r="N82" s="9" t="str">
        <f>LEFT(INDEX('2026_BUMCT_AUT_PEDS'!$A$1:$E$30,MATCH($H82,'2026_BUMCT_AUT_PEDS'!$A$1:$A$30),MATCH(I82,'2026_BUMCT_AUT_PEDS'!$A$1:$D$1)),30)</f>
        <v>AUTOLOGOUS HARVEST</v>
      </c>
      <c r="O82" s="16">
        <v>16607</v>
      </c>
      <c r="P82" s="507">
        <f t="shared" si="18"/>
        <v>17147</v>
      </c>
    </row>
    <row r="83" spans="1:17">
      <c r="A83" s="1" t="e">
        <f ca="1">'2026_BUMCT_AUT_PEDS'!$A$1</f>
        <v>#VALUE!</v>
      </c>
      <c r="B83" s="14" t="e">
        <f t="shared" ca="1" si="14"/>
        <v>#VALUE!</v>
      </c>
      <c r="C83" s="1" t="s">
        <v>357</v>
      </c>
      <c r="D83" s="4" t="e" cm="1">
        <f t="array" aca="1" ref="D83" ca="1">RIGHT(INDIRECT(ADDRESS(6,2,,,$A83)),6)</f>
        <v>#VALUE!</v>
      </c>
      <c r="E83" s="1" t="e" cm="1">
        <f t="array" aca="1" ref="E83" ca="1">RIGHT(INDIRECT(ADDRESS(4,2,,,$A83)),5)</f>
        <v>#VALUE!</v>
      </c>
      <c r="F83" s="22">
        <v>1.0335000000000001</v>
      </c>
      <c r="G83" s="22">
        <f t="shared" si="15"/>
        <v>1.0325</v>
      </c>
      <c r="H83" s="7">
        <v>3</v>
      </c>
      <c r="I83" s="7">
        <v>3</v>
      </c>
      <c r="J83" s="26">
        <v>4</v>
      </c>
      <c r="K83" s="26"/>
      <c r="L83" s="26" t="s">
        <v>350</v>
      </c>
      <c r="M83" s="26" t="s">
        <v>351</v>
      </c>
      <c r="N83" s="9" t="str">
        <f>LEFT(INDEX('2026_BUMCT_AUT_PEDS'!$A$1:$E$30,MATCH($H83,'2026_BUMCT_AUT_PEDS'!$A$1:$A$30),MATCH(I83,'2026_BUMCT_AUT_PEDS'!$A$1:$D$1)),30)</f>
        <v>PREP AND TRANSPLANT</v>
      </c>
      <c r="O83" s="16">
        <v>61835</v>
      </c>
      <c r="P83" s="507">
        <f t="shared" si="18"/>
        <v>63845</v>
      </c>
    </row>
    <row r="84" spans="1:17">
      <c r="A84" s="1" t="e">
        <f ca="1">'2026_BUMCT_AUT_PEDS'!$A$1</f>
        <v>#VALUE!</v>
      </c>
      <c r="B84" s="14" t="e">
        <f t="shared" ca="1" si="14"/>
        <v>#VALUE!</v>
      </c>
      <c r="C84" s="1" t="s">
        <v>357</v>
      </c>
      <c r="D84" s="4" t="e" cm="1">
        <f t="array" aca="1" ref="D84" ca="1">RIGHT(INDIRECT(ADDRESS(6,2,,,$A84)),6)</f>
        <v>#VALUE!</v>
      </c>
      <c r="E84" s="1" t="e" cm="1">
        <f t="array" aca="1" ref="E84" ca="1">RIGHT(INDIRECT(ADDRESS(4,2,,,$A84)),5)</f>
        <v>#VALUE!</v>
      </c>
      <c r="F84" s="22">
        <v>1.0335000000000001</v>
      </c>
      <c r="G84" s="22">
        <f t="shared" si="15"/>
        <v>1.0325</v>
      </c>
      <c r="H84" s="7">
        <v>4</v>
      </c>
      <c r="I84" s="7">
        <v>3</v>
      </c>
      <c r="J84" s="26">
        <v>4</v>
      </c>
      <c r="K84" s="26"/>
      <c r="L84" s="26" t="s">
        <v>350</v>
      </c>
      <c r="M84" s="26" t="s">
        <v>351</v>
      </c>
      <c r="N84" s="9" t="str">
        <f>LEFT(INDEX('2026_BUMCT_AUT_PEDS'!$A$1:$E$30,MATCH($H84,'2026_BUMCT_AUT_PEDS'!$A$1:$A$30),MATCH(I84,'2026_BUMCT_AUT_PEDS'!$A$1:$D$1)),30)</f>
        <v>FOLLOW UP CARE - From day 1 po</v>
      </c>
      <c r="O84" s="16">
        <v>83833</v>
      </c>
      <c r="P84" s="507">
        <f t="shared" si="18"/>
        <v>86558</v>
      </c>
    </row>
    <row r="85" spans="1:17">
      <c r="A85" s="1" t="e">
        <f ca="1">'2026_BUMCT_AUT_PEDS'!$A$1</f>
        <v>#VALUE!</v>
      </c>
      <c r="B85" s="14" t="e">
        <f t="shared" ca="1" si="14"/>
        <v>#VALUE!</v>
      </c>
      <c r="C85" s="1" t="s">
        <v>357</v>
      </c>
      <c r="D85" s="4" t="e" cm="1">
        <f t="array" aca="1" ref="D85" ca="1">RIGHT(INDIRECT(ADDRESS(6,2,,,$A85)),6)</f>
        <v>#VALUE!</v>
      </c>
      <c r="E85" s="1" t="e" cm="1">
        <f t="array" aca="1" ref="E85" ca="1">RIGHT(INDIRECT(ADDRESS(4,2,,,$A85)),5)</f>
        <v>#VALUE!</v>
      </c>
      <c r="F85" s="22">
        <v>1.0335000000000001</v>
      </c>
      <c r="G85" s="22">
        <f t="shared" si="15"/>
        <v>1.0325</v>
      </c>
      <c r="H85" s="7">
        <v>5</v>
      </c>
      <c r="I85" s="7">
        <v>3</v>
      </c>
      <c r="J85" s="26">
        <v>4</v>
      </c>
      <c r="K85" s="26"/>
      <c r="L85" s="26" t="s">
        <v>350</v>
      </c>
      <c r="M85" s="26" t="s">
        <v>351</v>
      </c>
      <c r="N85" s="9" t="str">
        <f>LEFT(INDEX('2026_BUMCT_AUT_PEDS'!$A$1:$E$30,MATCH($H85,'2026_BUMCT_AUT_PEDS'!$A$1:$A$30),MATCH(I85,'2026_BUMCT_AUT_PEDS'!$A$1:$D$1)),30)</f>
        <v xml:space="preserve">FOLLOW UP CARE - From day 31  </v>
      </c>
      <c r="O85" s="16">
        <v>11908</v>
      </c>
      <c r="P85" s="507">
        <f t="shared" si="18"/>
        <v>12295</v>
      </c>
    </row>
    <row r="86" spans="1:17">
      <c r="A86" s="1" t="e">
        <f ca="1">'2026_BUMCT_AUT_PEDS'!$A$1</f>
        <v>#VALUE!</v>
      </c>
      <c r="B86" s="14" t="e">
        <f t="shared" ca="1" si="14"/>
        <v>#VALUE!</v>
      </c>
      <c r="C86" s="1" t="s">
        <v>357</v>
      </c>
      <c r="D86" s="4" t="e" cm="1">
        <f t="array" aca="1" ref="D86" ca="1">RIGHT(INDIRECT(ADDRESS(6,2,,,$A86)),6)</f>
        <v>#VALUE!</v>
      </c>
      <c r="E86" s="1" t="e" cm="1">
        <f t="array" aca="1" ref="E86" ca="1">RIGHT(INDIRECT(ADDRESS(4,2,,,$A86)),5)</f>
        <v>#VALUE!</v>
      </c>
      <c r="F86" s="22">
        <v>1.0335000000000001</v>
      </c>
      <c r="G86" s="22">
        <f t="shared" si="15"/>
        <v>1.0325</v>
      </c>
      <c r="H86" s="7">
        <v>6</v>
      </c>
      <c r="I86" s="7">
        <v>3</v>
      </c>
      <c r="J86" s="26">
        <v>4</v>
      </c>
      <c r="K86" s="26"/>
      <c r="L86" s="26" t="s">
        <v>350</v>
      </c>
      <c r="M86" s="26" t="s">
        <v>351</v>
      </c>
      <c r="N86" s="9" t="str">
        <f>LEFT(INDEX('2026_BUMCT_AUT_PEDS'!$A$1:$E$30,MATCH($H86,'2026_BUMCT_AUT_PEDS'!$A$1:$A$30),MATCH(I86,'2026_BUMCT_AUT_PEDS'!$A$1:$D$1)),30)</f>
        <v xml:space="preserve">PER DIEM RATES for day 61+ of </v>
      </c>
      <c r="O86" s="16">
        <v>2474</v>
      </c>
      <c r="P86" s="507">
        <f t="shared" si="18"/>
        <v>2554</v>
      </c>
    </row>
    <row r="87" spans="1:17">
      <c r="A87" s="1" t="e">
        <f ca="1">'2026_BUMCT_AUT_PEDS'!$A$1</f>
        <v>#VALUE!</v>
      </c>
      <c r="B87" s="14" t="e">
        <f t="shared" ca="1" si="14"/>
        <v>#VALUE!</v>
      </c>
      <c r="C87" s="1" t="s">
        <v>357</v>
      </c>
      <c r="D87" s="4" t="e" cm="1">
        <f t="array" aca="1" ref="D87" ca="1">RIGHT(INDIRECT(ADDRESS(6,2,,,$A87)),6)</f>
        <v>#VALUE!</v>
      </c>
      <c r="E87" s="1" t="e" cm="1">
        <f t="array" aca="1" ref="E87" ca="1">RIGHT(INDIRECT(ADDRESS(4,2,,,$A87)),5)</f>
        <v>#VALUE!</v>
      </c>
      <c r="F87" s="22">
        <v>1.0335000000000001</v>
      </c>
      <c r="G87" s="22">
        <f t="shared" si="15"/>
        <v>1.0325</v>
      </c>
      <c r="H87" s="7">
        <v>7</v>
      </c>
      <c r="I87" s="7">
        <v>3</v>
      </c>
      <c r="J87" s="26">
        <v>4</v>
      </c>
      <c r="K87" s="26"/>
      <c r="L87" s="26" t="s">
        <v>350</v>
      </c>
      <c r="M87" s="26" t="s">
        <v>351</v>
      </c>
      <c r="N87" s="9" t="str">
        <f>LEFT(INDEX('2026_BUMCT_AUT_PEDS'!$A$1:$E$30,MATCH($H87,'2026_BUMCT_AUT_PEDS'!$A$1:$A$30),MATCH(I87,'2026_BUMCT_AUT_PEDS'!$A$1:$D$1)),30)</f>
        <v>Days 11+/61+ paid at the per d</v>
      </c>
      <c r="O87" s="16">
        <v>7263.18</v>
      </c>
      <c r="P87" s="509">
        <f>O87*$Q$2</f>
        <v>8014.1928120000002</v>
      </c>
      <c r="Q87" s="14" t="s">
        <v>352</v>
      </c>
    </row>
    <row r="88" spans="1:17">
      <c r="A88" s="1" t="e">
        <f ca="1">'2026_BUMCT_ALLO_RELA_PEDS'!$A$1</f>
        <v>#VALUE!</v>
      </c>
      <c r="B88" s="14" t="e">
        <f t="shared" ca="1" si="14"/>
        <v>#VALUE!</v>
      </c>
      <c r="C88" s="1" t="s">
        <v>357</v>
      </c>
      <c r="D88" s="4" t="e" cm="1">
        <f t="array" aca="1" ref="D88" ca="1">RIGHT(INDIRECT(ADDRESS(6,2,,,$A88)),6)</f>
        <v>#VALUE!</v>
      </c>
      <c r="E88" s="1" t="e" cm="1">
        <f t="array" aca="1" ref="E88" ca="1">RIGHT(INDIRECT(ADDRESS(4,2,,,$A88)),5)</f>
        <v>#VALUE!</v>
      </c>
      <c r="F88" s="22">
        <v>1.0335000000000001</v>
      </c>
      <c r="G88" s="22">
        <f t="shared" si="15"/>
        <v>1.0325</v>
      </c>
      <c r="H88" s="7">
        <v>1</v>
      </c>
      <c r="I88" s="7">
        <v>3</v>
      </c>
      <c r="J88" s="26">
        <v>4</v>
      </c>
      <c r="K88" s="26"/>
      <c r="L88" s="26" t="s">
        <v>350</v>
      </c>
      <c r="M88" s="26" t="s">
        <v>351</v>
      </c>
      <c r="N88" s="9" t="str">
        <f>LEFT(INDEX('2026_BUMCT_ALLO_RELA_PEDS'!$A$1:$E$30,MATCH($H88,'2026_BUMCT_ALLO_RELA_PEDS'!$A$1:$A$30),MATCH(I88,'2026_BUMCT_ALLO_RELA_PEDS'!$A$1:$D$1)),30)</f>
        <v>OUTPATIENT EVALUATION* - Initi</v>
      </c>
      <c r="O88" s="16">
        <v>6348</v>
      </c>
      <c r="P88" s="507">
        <f t="shared" ref="P88:P94" si="19">ROUND(O88*$G$2,0)</f>
        <v>6554</v>
      </c>
    </row>
    <row r="89" spans="1:17">
      <c r="A89" s="1" t="e">
        <f ca="1">'2026_BUMCT_ALLO_RELA_PEDS'!$A$1</f>
        <v>#VALUE!</v>
      </c>
      <c r="B89" s="14" t="e">
        <f t="shared" ca="1" si="14"/>
        <v>#VALUE!</v>
      </c>
      <c r="C89" s="1" t="s">
        <v>357</v>
      </c>
      <c r="D89" s="4" t="e" cm="1">
        <f t="array" aca="1" ref="D89" ca="1">RIGHT(INDIRECT(ADDRESS(6,2,,,$A89)),6)</f>
        <v>#VALUE!</v>
      </c>
      <c r="E89" s="1" t="e" cm="1">
        <f t="array" aca="1" ref="E89" ca="1">RIGHT(INDIRECT(ADDRESS(4,2,,,$A89)),5)</f>
        <v>#VALUE!</v>
      </c>
      <c r="F89" s="22">
        <v>1.0335000000000001</v>
      </c>
      <c r="G89" s="22">
        <f t="shared" si="15"/>
        <v>1.0325</v>
      </c>
      <c r="H89" s="7">
        <v>2</v>
      </c>
      <c r="I89" s="7">
        <v>3</v>
      </c>
      <c r="J89" s="26">
        <v>4</v>
      </c>
      <c r="K89" s="26"/>
      <c r="L89" s="26" t="s">
        <v>350</v>
      </c>
      <c r="M89" s="26" t="s">
        <v>351</v>
      </c>
      <c r="N89" s="9" t="str">
        <f>LEFT(INDEX('2026_BUMCT_ALLO_RELA_PEDS'!$A$1:$E$30,MATCH($H89,'2026_BUMCT_ALLO_RELA_PEDS'!$A$1:$A$30),MATCH(I89,'2026_BUMCT_ALLO_RELA_PEDS'!$A$1:$D$1)),30)</f>
        <v>RELATED DONOR SEARCH*</v>
      </c>
      <c r="O89" s="16">
        <v>5190</v>
      </c>
      <c r="P89" s="507">
        <f t="shared" si="19"/>
        <v>5359</v>
      </c>
    </row>
    <row r="90" spans="1:17">
      <c r="A90" s="1" t="e">
        <f ca="1">'2026_BUMCT_ALLO_RELA_PEDS'!$A$1</f>
        <v>#VALUE!</v>
      </c>
      <c r="B90" s="14" t="e">
        <f t="shared" ca="1" si="14"/>
        <v>#VALUE!</v>
      </c>
      <c r="C90" s="1" t="s">
        <v>357</v>
      </c>
      <c r="D90" s="4" t="e" cm="1">
        <f t="array" aca="1" ref="D90" ca="1">RIGHT(INDIRECT(ADDRESS(6,2,,,$A90)),6)</f>
        <v>#VALUE!</v>
      </c>
      <c r="E90" s="1" t="e" cm="1">
        <f t="array" aca="1" ref="E90" ca="1">RIGHT(INDIRECT(ADDRESS(4,2,,,$A90)),5)</f>
        <v>#VALUE!</v>
      </c>
      <c r="F90" s="22">
        <v>1.0335000000000001</v>
      </c>
      <c r="G90" s="22">
        <f t="shared" si="15"/>
        <v>1.0325</v>
      </c>
      <c r="H90" s="7">
        <v>3</v>
      </c>
      <c r="I90" s="7">
        <v>3</v>
      </c>
      <c r="J90" s="26">
        <v>4</v>
      </c>
      <c r="K90" s="26"/>
      <c r="L90" s="26" t="s">
        <v>350</v>
      </c>
      <c r="M90" s="26" t="s">
        <v>351</v>
      </c>
      <c r="N90" s="9" t="str">
        <f>LEFT(INDEX('2026_BUMCT_ALLO_RELA_PEDS'!$A$1:$E$30,MATCH($H90,'2026_BUMCT_ALLO_RELA_PEDS'!$A$1:$A$30),MATCH(I90,'2026_BUMCT_ALLO_RELA_PEDS'!$A$1:$D$1)),30)</f>
        <v>RELATED DONOR HARVEST</v>
      </c>
      <c r="O90" s="16">
        <v>17125</v>
      </c>
      <c r="P90" s="507">
        <f t="shared" si="19"/>
        <v>17682</v>
      </c>
    </row>
    <row r="91" spans="1:17">
      <c r="A91" s="1" t="e">
        <f ca="1">'2026_BUMCT_ALLO_RELA_PEDS'!$A$1</f>
        <v>#VALUE!</v>
      </c>
      <c r="B91" s="14" t="e">
        <f t="shared" ca="1" si="14"/>
        <v>#VALUE!</v>
      </c>
      <c r="C91" s="1" t="s">
        <v>357</v>
      </c>
      <c r="D91" s="4" t="e" cm="1">
        <f t="array" aca="1" ref="D91" ca="1">RIGHT(INDIRECT(ADDRESS(6,2,,,$A91)),6)</f>
        <v>#VALUE!</v>
      </c>
      <c r="E91" s="1" t="e" cm="1">
        <f t="array" aca="1" ref="E91" ca="1">RIGHT(INDIRECT(ADDRESS(4,2,,,$A91)),5)</f>
        <v>#VALUE!</v>
      </c>
      <c r="F91" s="22">
        <v>1.0335000000000001</v>
      </c>
      <c r="G91" s="22">
        <f t="shared" si="15"/>
        <v>1.0325</v>
      </c>
      <c r="H91" s="7">
        <v>4</v>
      </c>
      <c r="I91" s="7">
        <v>3</v>
      </c>
      <c r="J91" s="26">
        <v>4</v>
      </c>
      <c r="K91" s="26"/>
      <c r="L91" s="26" t="s">
        <v>350</v>
      </c>
      <c r="M91" s="26" t="s">
        <v>351</v>
      </c>
      <c r="N91" s="9" t="str">
        <f>LEFT(INDEX('2026_BUMCT_ALLO_RELA_PEDS'!$A$1:$E$30,MATCH($H91,'2026_BUMCT_ALLO_RELA_PEDS'!$A$1:$A$30),MATCH(I91,'2026_BUMCT_ALLO_RELA_PEDS'!$A$1:$D$1)),30)</f>
        <v>PREP AND TRANSPLANT</v>
      </c>
      <c r="O91" s="16">
        <v>61845</v>
      </c>
      <c r="P91" s="507">
        <f t="shared" si="19"/>
        <v>63855</v>
      </c>
    </row>
    <row r="92" spans="1:17">
      <c r="A92" s="1" t="e">
        <f ca="1">'2026_BUMCT_ALLO_RELA_PEDS'!$A$1</f>
        <v>#VALUE!</v>
      </c>
      <c r="B92" s="14" t="e">
        <f t="shared" ca="1" si="14"/>
        <v>#VALUE!</v>
      </c>
      <c r="C92" s="1" t="s">
        <v>357</v>
      </c>
      <c r="D92" s="4" t="e" cm="1">
        <f t="array" aca="1" ref="D92" ca="1">RIGHT(INDIRECT(ADDRESS(6,2,,,$A92)),6)</f>
        <v>#VALUE!</v>
      </c>
      <c r="E92" s="1" t="e" cm="1">
        <f t="array" aca="1" ref="E92" ca="1">RIGHT(INDIRECT(ADDRESS(4,2,,,$A92)),5)</f>
        <v>#VALUE!</v>
      </c>
      <c r="F92" s="22">
        <v>1.0335000000000001</v>
      </c>
      <c r="G92" s="22">
        <f t="shared" si="15"/>
        <v>1.0325</v>
      </c>
      <c r="H92" s="7">
        <v>5</v>
      </c>
      <c r="I92" s="7">
        <v>3</v>
      </c>
      <c r="J92" s="26">
        <v>4</v>
      </c>
      <c r="K92" s="26"/>
      <c r="L92" s="26" t="s">
        <v>350</v>
      </c>
      <c r="M92" s="26" t="s">
        <v>351</v>
      </c>
      <c r="N92" s="9" t="str">
        <f>LEFT(INDEX('2026_BUMCT_ALLO_RELA_PEDS'!$A$1:$E$30,MATCH($H92,'2026_BUMCT_ALLO_RELA_PEDS'!$A$1:$A$30),MATCH(I92,'2026_BUMCT_ALLO_RELA_PEDS'!$A$1:$D$1)),30)</f>
        <v>FOLLOW UP CARE - From day 1 po</v>
      </c>
      <c r="O92" s="16">
        <v>83849</v>
      </c>
      <c r="P92" s="507">
        <f t="shared" si="19"/>
        <v>86574</v>
      </c>
    </row>
    <row r="93" spans="1:17">
      <c r="A93" s="1" t="e">
        <f ca="1">'2026_BUMCT_ALLO_RELA_PEDS'!$A$1</f>
        <v>#VALUE!</v>
      </c>
      <c r="B93" s="14" t="e">
        <f t="shared" ca="1" si="14"/>
        <v>#VALUE!</v>
      </c>
      <c r="C93" s="1" t="s">
        <v>357</v>
      </c>
      <c r="D93" s="4" t="e" cm="1">
        <f t="array" aca="1" ref="D93" ca="1">RIGHT(INDIRECT(ADDRESS(6,2,,,$A93)),6)</f>
        <v>#VALUE!</v>
      </c>
      <c r="E93" s="1" t="e" cm="1">
        <f t="array" aca="1" ref="E93" ca="1">RIGHT(INDIRECT(ADDRESS(4,2,,,$A93)),5)</f>
        <v>#VALUE!</v>
      </c>
      <c r="F93" s="22">
        <v>1.0335000000000001</v>
      </c>
      <c r="G93" s="22">
        <f t="shared" si="15"/>
        <v>1.0325</v>
      </c>
      <c r="H93" s="7">
        <v>6</v>
      </c>
      <c r="I93" s="7">
        <v>3</v>
      </c>
      <c r="J93" s="26">
        <v>4</v>
      </c>
      <c r="K93" s="26"/>
      <c r="L93" s="26" t="s">
        <v>350</v>
      </c>
      <c r="M93" s="26" t="s">
        <v>351</v>
      </c>
      <c r="N93" s="9" t="str">
        <f>LEFT(INDEX('2026_BUMCT_ALLO_RELA_PEDS'!$A$1:$E$30,MATCH($H93,'2026_BUMCT_ALLO_RELA_PEDS'!$A$1:$A$30),MATCH(I93,'2026_BUMCT_ALLO_RELA_PEDS'!$A$1:$D$1)),30)</f>
        <v xml:space="preserve">FOLLOW UP CARE - From day 31  </v>
      </c>
      <c r="O93" s="16">
        <v>11915</v>
      </c>
      <c r="P93" s="507">
        <f t="shared" si="19"/>
        <v>12302</v>
      </c>
    </row>
    <row r="94" spans="1:17">
      <c r="A94" s="1" t="e">
        <f ca="1">'2026_BUMCT_ALLO_RELA_PEDS'!$A$1</f>
        <v>#VALUE!</v>
      </c>
      <c r="B94" s="14" t="e">
        <f t="shared" ca="1" si="14"/>
        <v>#VALUE!</v>
      </c>
      <c r="C94" s="1" t="s">
        <v>357</v>
      </c>
      <c r="D94" s="4" t="e" cm="1">
        <f t="array" aca="1" ref="D94" ca="1">RIGHT(INDIRECT(ADDRESS(6,2,,,$A94)),6)</f>
        <v>#VALUE!</v>
      </c>
      <c r="E94" s="1" t="e" cm="1">
        <f t="array" aca="1" ref="E94" ca="1">RIGHT(INDIRECT(ADDRESS(4,2,,,$A94)),5)</f>
        <v>#VALUE!</v>
      </c>
      <c r="F94" s="22">
        <v>1.0335000000000001</v>
      </c>
      <c r="G94" s="22">
        <f t="shared" si="15"/>
        <v>1.0325</v>
      </c>
      <c r="H94" s="7">
        <v>7</v>
      </c>
      <c r="I94" s="7">
        <v>3</v>
      </c>
      <c r="J94" s="26">
        <v>4</v>
      </c>
      <c r="K94" s="26"/>
      <c r="L94" s="26" t="s">
        <v>350</v>
      </c>
      <c r="M94" s="26" t="s">
        <v>351</v>
      </c>
      <c r="N94" s="9" t="str">
        <f>LEFT(INDEX('2026_BUMCT_ALLO_RELA_PEDS'!$A$1:$E$30,MATCH($H94,'2026_BUMCT_ALLO_RELA_PEDS'!$A$1:$A$30),MATCH(I94,'2026_BUMCT_ALLO_RELA_PEDS'!$A$1:$D$1)),30)</f>
        <v xml:space="preserve">PER DIEM RATES for day 61+ of </v>
      </c>
      <c r="O94" s="16">
        <v>2474</v>
      </c>
      <c r="P94" s="507">
        <f t="shared" si="19"/>
        <v>2554</v>
      </c>
    </row>
    <row r="95" spans="1:17">
      <c r="A95" s="1" t="e">
        <f ca="1">'2026_BUMCT_ALLO_RELA_PEDS'!$A$1</f>
        <v>#VALUE!</v>
      </c>
      <c r="B95" s="14" t="e">
        <f t="shared" ca="1" si="14"/>
        <v>#VALUE!</v>
      </c>
      <c r="C95" s="1" t="s">
        <v>357</v>
      </c>
      <c r="D95" s="4" t="e" cm="1">
        <f t="array" aca="1" ref="D95" ca="1">RIGHT(INDIRECT(ADDRESS(6,2,,,$A95)),6)</f>
        <v>#VALUE!</v>
      </c>
      <c r="E95" s="1" t="e" cm="1">
        <f t="array" aca="1" ref="E95" ca="1">RIGHT(INDIRECT(ADDRESS(4,2,,,$A95)),5)</f>
        <v>#VALUE!</v>
      </c>
      <c r="F95" s="22">
        <v>1.0335000000000001</v>
      </c>
      <c r="G95" s="22">
        <f t="shared" si="15"/>
        <v>1.0325</v>
      </c>
      <c r="H95" s="7">
        <v>8</v>
      </c>
      <c r="I95" s="7">
        <v>3</v>
      </c>
      <c r="J95" s="26">
        <v>4</v>
      </c>
      <c r="K95" s="26"/>
      <c r="L95" s="26" t="s">
        <v>350</v>
      </c>
      <c r="M95" s="26" t="s">
        <v>351</v>
      </c>
      <c r="N95" s="9" t="str">
        <f>LEFT(INDEX('2026_BUMCT_ALLO_RELA_PEDS'!$A$1:$E$30,MATCH($H95,'2026_BUMCT_ALLO_RELA_PEDS'!$A$1:$A$30),MATCH(I95,'2026_BUMCT_ALLO_RELA_PEDS'!$A$1:$D$1)),30)</f>
        <v>Days 11+/61+ paid at the per d</v>
      </c>
      <c r="O95" s="16">
        <v>7263.18</v>
      </c>
      <c r="P95" s="509">
        <f>O95*$Q$2</f>
        <v>8014.1928120000002</v>
      </c>
      <c r="Q95" s="14" t="s">
        <v>352</v>
      </c>
    </row>
    <row r="96" spans="1:17">
      <c r="A96" s="1" t="e">
        <f ca="1">'2026_BUMCT_HAPLOID_PEDS'!$A$1</f>
        <v>#VALUE!</v>
      </c>
      <c r="B96" s="14" t="e">
        <f t="shared" ca="1" si="14"/>
        <v>#VALUE!</v>
      </c>
      <c r="C96" s="1" t="s">
        <v>357</v>
      </c>
      <c r="D96" s="4" t="e" cm="1">
        <f t="array" aca="1" ref="D96" ca="1">RIGHT(INDIRECT(ADDRESS(6,2,,,$A96)),6)</f>
        <v>#VALUE!</v>
      </c>
      <c r="E96" s="1" t="e" cm="1">
        <f t="array" aca="1" ref="E96" ca="1">RIGHT(INDIRECT(ADDRESS(4,2,,,$A96)),5)</f>
        <v>#VALUE!</v>
      </c>
      <c r="F96" s="22">
        <v>1.0335000000000001</v>
      </c>
      <c r="G96" s="22">
        <f t="shared" si="15"/>
        <v>1.0325</v>
      </c>
      <c r="H96" s="7">
        <v>1</v>
      </c>
      <c r="I96" s="7">
        <v>3</v>
      </c>
      <c r="J96" s="26">
        <v>4</v>
      </c>
      <c r="K96" s="26"/>
      <c r="L96" s="26" t="s">
        <v>350</v>
      </c>
      <c r="M96" s="26" t="s">
        <v>351</v>
      </c>
      <c r="N96" s="9" t="str">
        <f>LEFT(INDEX('2026_BUMCT_HAPLOID_PEDS'!$A$1:$E$30,MATCH($H96,'2026_BUMCT_HAPLOID_PEDS'!$A$1:$A$30),MATCH(I96,'2026_BUMCT_HAPLOID_PEDS'!$A$1:$D$1)),30)</f>
        <v>OUTPATIENT EVALUATION* - Initi</v>
      </c>
      <c r="O96" s="16">
        <v>6443</v>
      </c>
      <c r="P96" s="507">
        <f t="shared" ref="P96:P102" si="20">ROUND(O96*$G$2,0)</f>
        <v>6652</v>
      </c>
    </row>
    <row r="97" spans="1:17">
      <c r="A97" s="1" t="e">
        <f ca="1">'2026_BUMCT_HAPLOID_PEDS'!$A$1</f>
        <v>#VALUE!</v>
      </c>
      <c r="B97" s="14" t="e">
        <f t="shared" ca="1" si="14"/>
        <v>#VALUE!</v>
      </c>
      <c r="C97" s="1" t="s">
        <v>357</v>
      </c>
      <c r="D97" s="4" t="e" cm="1">
        <f t="array" aca="1" ref="D97" ca="1">RIGHT(INDIRECT(ADDRESS(6,2,,,$A97)),6)</f>
        <v>#VALUE!</v>
      </c>
      <c r="E97" s="1" t="e" cm="1">
        <f t="array" aca="1" ref="E97" ca="1">RIGHT(INDIRECT(ADDRESS(4,2,,,$A97)),5)</f>
        <v>#VALUE!</v>
      </c>
      <c r="F97" s="22">
        <v>1.0335000000000001</v>
      </c>
      <c r="G97" s="22">
        <f t="shared" si="15"/>
        <v>1.0325</v>
      </c>
      <c r="H97" s="7">
        <v>2</v>
      </c>
      <c r="I97" s="7">
        <v>3</v>
      </c>
      <c r="J97" s="26">
        <v>4</v>
      </c>
      <c r="K97" s="26"/>
      <c r="L97" s="26" t="s">
        <v>350</v>
      </c>
      <c r="M97" s="26" t="s">
        <v>351</v>
      </c>
      <c r="N97" s="9" t="str">
        <f>LEFT(INDEX('2026_BUMCT_HAPLOID_PEDS'!$A$1:$E$30,MATCH($H97,'2026_BUMCT_HAPLOID_PEDS'!$A$1:$A$30),MATCH(I97,'2026_BUMCT_HAPLOID_PEDS'!$A$1:$D$1)),30)</f>
        <v>DONOR SEARCH *</v>
      </c>
      <c r="O97" s="16">
        <v>11374</v>
      </c>
      <c r="P97" s="507">
        <f t="shared" si="20"/>
        <v>11744</v>
      </c>
    </row>
    <row r="98" spans="1:17">
      <c r="A98" s="1" t="e">
        <f ca="1">'2026_BUMCT_HAPLOID_PEDS'!$A$1</f>
        <v>#VALUE!</v>
      </c>
      <c r="B98" s="14" t="e">
        <f t="shared" ca="1" si="14"/>
        <v>#VALUE!</v>
      </c>
      <c r="C98" s="1" t="s">
        <v>357</v>
      </c>
      <c r="D98" s="4" t="e" cm="1">
        <f t="array" aca="1" ref="D98" ca="1">RIGHT(INDIRECT(ADDRESS(6,2,,,$A98)),6)</f>
        <v>#VALUE!</v>
      </c>
      <c r="E98" s="1" t="e" cm="1">
        <f t="array" aca="1" ref="E98" ca="1">RIGHT(INDIRECT(ADDRESS(4,2,,,$A98)),5)</f>
        <v>#VALUE!</v>
      </c>
      <c r="F98" s="22">
        <v>1.0335000000000001</v>
      </c>
      <c r="G98" s="22">
        <f t="shared" si="15"/>
        <v>1.0325</v>
      </c>
      <c r="H98" s="7">
        <v>3</v>
      </c>
      <c r="I98" s="7">
        <v>3</v>
      </c>
      <c r="J98" s="26">
        <v>4</v>
      </c>
      <c r="K98" s="26"/>
      <c r="L98" s="26" t="s">
        <v>350</v>
      </c>
      <c r="M98" s="26" t="s">
        <v>351</v>
      </c>
      <c r="N98" s="9" t="str">
        <f>LEFT(INDEX('2026_BUMCT_HAPLOID_PEDS'!$A$1:$E$30,MATCH($H98,'2026_BUMCT_HAPLOID_PEDS'!$A$1:$A$30),MATCH(I98,'2026_BUMCT_HAPLOID_PEDS'!$A$1:$D$1)),30)</f>
        <v>DONOR HARVEST (includes stem c</v>
      </c>
      <c r="O98" s="16">
        <v>17125</v>
      </c>
      <c r="P98" s="507">
        <f t="shared" si="20"/>
        <v>17682</v>
      </c>
    </row>
    <row r="99" spans="1:17">
      <c r="A99" s="1" t="e">
        <f ca="1">'2026_BUMCT_HAPLOID_PEDS'!$A$1</f>
        <v>#VALUE!</v>
      </c>
      <c r="B99" s="14" t="e">
        <f t="shared" ca="1" si="14"/>
        <v>#VALUE!</v>
      </c>
      <c r="C99" s="1" t="s">
        <v>357</v>
      </c>
      <c r="D99" s="4" t="e" cm="1">
        <f t="array" aca="1" ref="D99" ca="1">RIGHT(INDIRECT(ADDRESS(6,2,,,$A99)),6)</f>
        <v>#VALUE!</v>
      </c>
      <c r="E99" s="1" t="e" cm="1">
        <f t="array" aca="1" ref="E99" ca="1">RIGHT(INDIRECT(ADDRESS(4,2,,,$A99)),5)</f>
        <v>#VALUE!</v>
      </c>
      <c r="F99" s="22">
        <v>1.0335000000000001</v>
      </c>
      <c r="G99" s="22">
        <f t="shared" si="15"/>
        <v>1.0325</v>
      </c>
      <c r="H99" s="7">
        <v>4</v>
      </c>
      <c r="I99" s="7">
        <v>3</v>
      </c>
      <c r="J99" s="26">
        <v>4</v>
      </c>
      <c r="K99" s="26"/>
      <c r="L99" s="26" t="s">
        <v>350</v>
      </c>
      <c r="M99" s="26" t="s">
        <v>351</v>
      </c>
      <c r="N99" s="9" t="str">
        <f>LEFT(INDEX('2026_BUMCT_HAPLOID_PEDS'!$A$1:$E$30,MATCH($H99,'2026_BUMCT_HAPLOID_PEDS'!$A$1:$A$30),MATCH(I99,'2026_BUMCT_HAPLOID_PEDS'!$A$1:$D$1)),30)</f>
        <v>PREP AND TRANSPLANT</v>
      </c>
      <c r="O99" s="16">
        <v>61950</v>
      </c>
      <c r="P99" s="507">
        <f t="shared" si="20"/>
        <v>63963</v>
      </c>
    </row>
    <row r="100" spans="1:17">
      <c r="A100" s="1" t="e">
        <f ca="1">'2026_BUMCT_HAPLOID_PEDS'!$A$1</f>
        <v>#VALUE!</v>
      </c>
      <c r="B100" s="14" t="e">
        <f t="shared" ca="1" si="14"/>
        <v>#VALUE!</v>
      </c>
      <c r="C100" s="1" t="s">
        <v>357</v>
      </c>
      <c r="D100" s="4" t="e" cm="1">
        <f t="array" aca="1" ref="D100" ca="1">RIGHT(INDIRECT(ADDRESS(6,2,,,$A100)),6)</f>
        <v>#VALUE!</v>
      </c>
      <c r="E100" s="1" t="e" cm="1">
        <f t="array" aca="1" ref="E100" ca="1">RIGHT(INDIRECT(ADDRESS(4,2,,,$A100)),5)</f>
        <v>#VALUE!</v>
      </c>
      <c r="F100" s="22">
        <v>1.0335000000000001</v>
      </c>
      <c r="G100" s="22">
        <f t="shared" si="15"/>
        <v>1.0325</v>
      </c>
      <c r="H100" s="7">
        <v>5</v>
      </c>
      <c r="I100" s="7">
        <v>3</v>
      </c>
      <c r="J100" s="26">
        <v>4</v>
      </c>
      <c r="K100" s="26"/>
      <c r="L100" s="26" t="s">
        <v>350</v>
      </c>
      <c r="M100" s="26" t="s">
        <v>351</v>
      </c>
      <c r="N100" s="9" t="str">
        <f>LEFT(INDEX('2026_BUMCT_HAPLOID_PEDS'!$A$1:$E$30,MATCH($H100,'2026_BUMCT_HAPLOID_PEDS'!$A$1:$A$30),MATCH(I100,'2026_BUMCT_HAPLOID_PEDS'!$A$1:$D$1)),30)</f>
        <v>FOLLOW UP CARE - From day 1 po</v>
      </c>
      <c r="O100" s="16">
        <v>97853</v>
      </c>
      <c r="P100" s="507">
        <f t="shared" si="20"/>
        <v>101033</v>
      </c>
    </row>
    <row r="101" spans="1:17">
      <c r="A101" s="1" t="e">
        <f ca="1">'2026_BUMCT_HAPLOID_PEDS'!$A$1</f>
        <v>#VALUE!</v>
      </c>
      <c r="B101" s="14" t="e">
        <f t="shared" ca="1" si="14"/>
        <v>#VALUE!</v>
      </c>
      <c r="C101" s="1" t="s">
        <v>357</v>
      </c>
      <c r="D101" s="4" t="e" cm="1">
        <f t="array" aca="1" ref="D101" ca="1">RIGHT(INDIRECT(ADDRESS(6,2,,,$A101)),6)</f>
        <v>#VALUE!</v>
      </c>
      <c r="E101" s="1" t="e" cm="1">
        <f t="array" aca="1" ref="E101" ca="1">RIGHT(INDIRECT(ADDRESS(4,2,,,$A101)),5)</f>
        <v>#VALUE!</v>
      </c>
      <c r="F101" s="22">
        <v>1.0335000000000001</v>
      </c>
      <c r="G101" s="22">
        <f t="shared" si="15"/>
        <v>1.0325</v>
      </c>
      <c r="H101" s="7">
        <v>6</v>
      </c>
      <c r="I101" s="7">
        <v>3</v>
      </c>
      <c r="J101" s="26">
        <v>4</v>
      </c>
      <c r="K101" s="26"/>
      <c r="L101" s="26" t="s">
        <v>350</v>
      </c>
      <c r="M101" s="26" t="s">
        <v>351</v>
      </c>
      <c r="N101" s="9" t="str">
        <f>LEFT(INDEX('2026_BUMCT_HAPLOID_PEDS'!$A$1:$E$30,MATCH($H101,'2026_BUMCT_HAPLOID_PEDS'!$A$1:$A$30),MATCH(I101,'2026_BUMCT_HAPLOID_PEDS'!$A$1:$D$1)),30)</f>
        <v xml:space="preserve">FOLLOW UP CARE - From day 31  </v>
      </c>
      <c r="O101" s="16">
        <v>32359</v>
      </c>
      <c r="P101" s="507">
        <f t="shared" si="20"/>
        <v>33411</v>
      </c>
    </row>
    <row r="102" spans="1:17">
      <c r="A102" s="1" t="e">
        <f ca="1">'2026_BUMCT_HAPLOID_PEDS'!$A$1</f>
        <v>#VALUE!</v>
      </c>
      <c r="B102" s="14" t="e">
        <f t="shared" ca="1" si="14"/>
        <v>#VALUE!</v>
      </c>
      <c r="C102" s="1" t="s">
        <v>357</v>
      </c>
      <c r="D102" s="4" t="e" cm="1">
        <f t="array" aca="1" ref="D102" ca="1">RIGHT(INDIRECT(ADDRESS(6,2,,,$A102)),6)</f>
        <v>#VALUE!</v>
      </c>
      <c r="E102" s="1" t="e" cm="1">
        <f t="array" aca="1" ref="E102" ca="1">RIGHT(INDIRECT(ADDRESS(4,2,,,$A102)),5)</f>
        <v>#VALUE!</v>
      </c>
      <c r="F102" s="22">
        <v>1.0335000000000001</v>
      </c>
      <c r="G102" s="22">
        <f t="shared" si="15"/>
        <v>1.0325</v>
      </c>
      <c r="H102" s="7">
        <v>7</v>
      </c>
      <c r="I102" s="7">
        <v>3</v>
      </c>
      <c r="J102" s="26">
        <v>4</v>
      </c>
      <c r="K102" s="26"/>
      <c r="L102" s="26" t="s">
        <v>350</v>
      </c>
      <c r="M102" s="26" t="s">
        <v>351</v>
      </c>
      <c r="N102" s="9" t="str">
        <f>LEFT(INDEX('2026_BUMCT_HAPLOID_PEDS'!$A$1:$E$30,MATCH($H102,'2026_BUMCT_HAPLOID_PEDS'!$A$1:$A$30),MATCH(I102,'2026_BUMCT_HAPLOID_PEDS'!$A$1:$D$1)),30)</f>
        <v xml:space="preserve">PER DIEM RATES for day 61+ of </v>
      </c>
      <c r="O102" s="16">
        <v>2474</v>
      </c>
      <c r="P102" s="507">
        <f t="shared" si="20"/>
        <v>2554</v>
      </c>
    </row>
    <row r="103" spans="1:17">
      <c r="A103" s="1" t="e">
        <f ca="1">'2026_BUMCT_HAPLOID_PEDS'!$A$1</f>
        <v>#VALUE!</v>
      </c>
      <c r="B103" s="14" t="e">
        <f t="shared" ca="1" si="14"/>
        <v>#VALUE!</v>
      </c>
      <c r="C103" s="1" t="s">
        <v>357</v>
      </c>
      <c r="D103" s="4" t="e" cm="1">
        <f t="array" aca="1" ref="D103" ca="1">RIGHT(INDIRECT(ADDRESS(6,2,,,$A103)),6)</f>
        <v>#VALUE!</v>
      </c>
      <c r="E103" s="1" t="e" cm="1">
        <f t="array" aca="1" ref="E103" ca="1">RIGHT(INDIRECT(ADDRESS(4,2,,,$A103)),5)</f>
        <v>#VALUE!</v>
      </c>
      <c r="F103" s="22">
        <v>1.0335000000000001</v>
      </c>
      <c r="G103" s="22">
        <f t="shared" si="15"/>
        <v>1.0325</v>
      </c>
      <c r="H103" s="7">
        <v>8</v>
      </c>
      <c r="I103" s="7">
        <v>3</v>
      </c>
      <c r="J103" s="26">
        <v>4</v>
      </c>
      <c r="K103" s="26"/>
      <c r="L103" s="26" t="s">
        <v>350</v>
      </c>
      <c r="M103" s="26" t="s">
        <v>351</v>
      </c>
      <c r="N103" s="9" t="str">
        <f>LEFT(INDEX('2026_BUMCT_HAPLOID_PEDS'!$A$1:$E$30,MATCH($H103,'2026_BUMCT_HAPLOID_PEDS'!$A$1:$A$30),MATCH(I103,'2026_BUMCT_HAPLOID_PEDS'!$A$1:$D$1)),30)</f>
        <v>Days 11+/61+ paid at the per d</v>
      </c>
      <c r="O103" s="16">
        <v>7263.18</v>
      </c>
      <c r="P103" s="509">
        <f>O103*$Q$2</f>
        <v>8014.1928120000002</v>
      </c>
      <c r="Q103" s="14" t="s">
        <v>352</v>
      </c>
    </row>
    <row r="104" spans="1:17">
      <c r="A104" s="1" t="e">
        <f ca="1">'2026_BUMCT_HAPLOID_PEDS'!$A$1</f>
        <v>#VALUE!</v>
      </c>
      <c r="B104" s="14" t="e">
        <f t="shared" ca="1" si="14"/>
        <v>#VALUE!</v>
      </c>
      <c r="C104" s="1" t="s">
        <v>357</v>
      </c>
      <c r="D104" s="4" t="e" cm="1">
        <f t="array" aca="1" ref="D104" ca="1">RIGHT(INDIRECT(ADDRESS(6,2,,,$A104)),6)</f>
        <v>#VALUE!</v>
      </c>
      <c r="E104" s="1" t="e" cm="1">
        <f t="array" aca="1" ref="E104" ca="1">RIGHT(INDIRECT(ADDRESS(4,2,,,$A104)),5)</f>
        <v>#VALUE!</v>
      </c>
      <c r="F104" s="22">
        <v>1.0335000000000001</v>
      </c>
      <c r="G104" s="22">
        <f t="shared" si="15"/>
        <v>1.0325</v>
      </c>
      <c r="H104" s="7">
        <v>9</v>
      </c>
      <c r="I104" s="7">
        <v>3</v>
      </c>
      <c r="J104" s="26">
        <v>4</v>
      </c>
      <c r="K104" s="26"/>
      <c r="L104" s="26" t="s">
        <v>350</v>
      </c>
      <c r="M104" s="26" t="s">
        <v>351</v>
      </c>
      <c r="N104" s="9" t="str">
        <f>LEFT(INDEX('2026_BUMCT_HAPLOID_PEDS'!$A$1:$E$30,MATCH($H104,'2026_BUMCT_HAPLOID_PEDS'!$A$1:$A$30),MATCH(I104,'2026_BUMCT_HAPLOID_PEDS'!$A$1:$D$1)),30)</f>
        <v>Outliers: Haploid Related case</v>
      </c>
      <c r="O104" s="16">
        <v>249440</v>
      </c>
      <c r="P104" s="507">
        <f t="shared" ref="P104" si="21">ROUND(O104*$G$2,0)</f>
        <v>257547</v>
      </c>
      <c r="Q104" s="14" t="s">
        <v>353</v>
      </c>
    </row>
    <row r="105" spans="1:17">
      <c r="A105" s="1" t="e">
        <f ca="1">'2026_BUMCT_HAPLOID_PEDS'!$A$1</f>
        <v>#VALUE!</v>
      </c>
      <c r="B105" s="14" t="e">
        <f t="shared" ca="1" si="14"/>
        <v>#VALUE!</v>
      </c>
      <c r="C105" s="1" t="s">
        <v>357</v>
      </c>
      <c r="D105" s="4" t="e" cm="1">
        <f t="array" aca="1" ref="D105" ca="1">RIGHT(INDIRECT(ADDRESS(6,2,,,$A105)),6)</f>
        <v>#VALUE!</v>
      </c>
      <c r="E105" s="1" t="e" cm="1">
        <f t="array" aca="1" ref="E105" ca="1">RIGHT(INDIRECT(ADDRESS(4,2,,,$A105)),5)</f>
        <v>#VALUE!</v>
      </c>
      <c r="F105" s="22">
        <v>1.0335000000000001</v>
      </c>
      <c r="G105" s="22">
        <f t="shared" si="15"/>
        <v>1.0325</v>
      </c>
      <c r="H105" s="7">
        <v>10</v>
      </c>
      <c r="I105" s="7">
        <v>3</v>
      </c>
      <c r="J105" s="26">
        <v>4</v>
      </c>
      <c r="K105" s="26"/>
      <c r="L105" s="26" t="s">
        <v>350</v>
      </c>
      <c r="M105" s="26" t="s">
        <v>351</v>
      </c>
      <c r="N105" s="9" t="str">
        <f>LEFT(INDEX('2026_BUMCT_HAPLOID_PEDS'!$A$1:$E$30,MATCH($H105,'2026_BUMCT_HAPLOID_PEDS'!$A$1:$A$30),MATCH(I105,'2026_BUMCT_HAPLOID_PEDS'!$A$1:$D$1)),30)</f>
        <v>Rate Above Threshold</v>
      </c>
      <c r="O105" s="16">
        <v>0.5</v>
      </c>
      <c r="P105" s="507">
        <f>O105</f>
        <v>0.5</v>
      </c>
      <c r="Q105" s="14" t="s">
        <v>354</v>
      </c>
    </row>
    <row r="106" spans="1:17">
      <c r="A106" s="1" t="e">
        <f ca="1">'2026_BUMCT_ALLO_UNRE_PEDS'!$A$1</f>
        <v>#VALUE!</v>
      </c>
      <c r="B106" s="14" t="e">
        <f t="shared" ca="1" si="14"/>
        <v>#VALUE!</v>
      </c>
      <c r="C106" s="1" t="s">
        <v>357</v>
      </c>
      <c r="D106" s="4" t="e" cm="1">
        <f t="array" aca="1" ref="D106" ca="1">RIGHT(INDIRECT(ADDRESS(6,2,,,$A106)),6)</f>
        <v>#VALUE!</v>
      </c>
      <c r="E106" s="1" t="e" cm="1">
        <f t="array" aca="1" ref="E106" ca="1">RIGHT(INDIRECT(ADDRESS(4,2,,,$A106)),5)</f>
        <v>#VALUE!</v>
      </c>
      <c r="F106" s="22">
        <v>1.0335000000000001</v>
      </c>
      <c r="G106" s="22">
        <f t="shared" si="15"/>
        <v>1.0325</v>
      </c>
      <c r="H106" s="7">
        <v>1</v>
      </c>
      <c r="I106" s="7">
        <v>3</v>
      </c>
      <c r="J106" s="26">
        <v>4</v>
      </c>
      <c r="K106" s="26"/>
      <c r="L106" s="26" t="s">
        <v>350</v>
      </c>
      <c r="M106" s="26" t="s">
        <v>351</v>
      </c>
      <c r="N106" s="9" t="str">
        <f>LEFT(INDEX('2026_BUMCT_ALLO_UNRE_PEDS'!$A$1:$E$30,MATCH($H106,'2026_BUMCT_ALLO_UNRE_PEDS'!$A$1:$A$30),MATCH(I106,'2026_BUMCT_ALLO_UNRE_PEDS'!$A$1:$D$1)),30)</f>
        <v>OUTPATIENT EVALUATION* - Initi</v>
      </c>
      <c r="O106" s="16">
        <v>6583</v>
      </c>
      <c r="P106" s="507">
        <f t="shared" ref="P106:P107" si="22">ROUND(O106*$G$2,0)</f>
        <v>6797</v>
      </c>
    </row>
    <row r="107" spans="1:17">
      <c r="A107" s="1" t="e">
        <f ca="1">'2026_BUMCT_ALLO_UNRE_PEDS'!$A$1</f>
        <v>#VALUE!</v>
      </c>
      <c r="B107" s="14" t="e">
        <f t="shared" ca="1" si="14"/>
        <v>#VALUE!</v>
      </c>
      <c r="C107" s="1" t="s">
        <v>357</v>
      </c>
      <c r="D107" s="4" t="e" cm="1">
        <f t="array" aca="1" ref="D107" ca="1">RIGHT(INDIRECT(ADDRESS(6,2,,,$A107)),6)</f>
        <v>#VALUE!</v>
      </c>
      <c r="E107" s="1" t="e" cm="1">
        <f t="array" aca="1" ref="E107" ca="1">RIGHT(INDIRECT(ADDRESS(4,2,,,$A107)),5)</f>
        <v>#VALUE!</v>
      </c>
      <c r="F107" s="22">
        <v>1.0335000000000001</v>
      </c>
      <c r="G107" s="22">
        <f t="shared" si="15"/>
        <v>1.0325</v>
      </c>
      <c r="H107" s="7">
        <v>2</v>
      </c>
      <c r="I107" s="7">
        <v>3</v>
      </c>
      <c r="J107" s="26">
        <v>4</v>
      </c>
      <c r="K107" s="26"/>
      <c r="L107" s="26" t="s">
        <v>350</v>
      </c>
      <c r="M107" s="26" t="s">
        <v>351</v>
      </c>
      <c r="N107" s="9" t="str">
        <f>LEFT(INDEX('2026_BUMCT_ALLO_UNRE_PEDS'!$A$1:$E$30,MATCH($H107,'2026_BUMCT_ALLO_UNRE_PEDS'!$A$1:$A$30),MATCH(I107,'2026_BUMCT_ALLO_UNRE_PEDS'!$A$1:$D$1)),30)</f>
        <v>UNRELATED DONOR SEARCH</v>
      </c>
      <c r="O107" s="16">
        <v>11622</v>
      </c>
      <c r="P107" s="507">
        <f t="shared" si="22"/>
        <v>12000</v>
      </c>
    </row>
    <row r="108" spans="1:17">
      <c r="A108" s="1" t="e">
        <f ca="1">'2026_BUMCT_ALLO_UNRE_PEDS'!$A$1</f>
        <v>#VALUE!</v>
      </c>
      <c r="B108" s="14" t="e">
        <f t="shared" ca="1" si="14"/>
        <v>#VALUE!</v>
      </c>
      <c r="C108" s="1" t="s">
        <v>357</v>
      </c>
      <c r="D108" s="4" t="e" cm="1">
        <f t="array" aca="1" ref="D108" ca="1">RIGHT(INDIRECT(ADDRESS(6,2,,,$A108)),6)</f>
        <v>#VALUE!</v>
      </c>
      <c r="E108" s="1" t="e" cm="1">
        <f t="array" aca="1" ref="E108" ca="1">RIGHT(INDIRECT(ADDRESS(4,2,,,$A108)),5)</f>
        <v>#VALUE!</v>
      </c>
      <c r="F108" s="22">
        <v>1.0335000000000001</v>
      </c>
      <c r="G108" s="22">
        <f t="shared" si="15"/>
        <v>1.0325</v>
      </c>
      <c r="H108" s="7">
        <v>3</v>
      </c>
      <c r="I108" s="7">
        <v>3</v>
      </c>
      <c r="J108" s="26">
        <v>4</v>
      </c>
      <c r="K108" s="26"/>
      <c r="L108" s="26" t="s">
        <v>350</v>
      </c>
      <c r="M108" s="26" t="s">
        <v>351</v>
      </c>
      <c r="N108" s="9" t="str">
        <f>LEFT(INDEX('2026_BUMCT_ALLO_UNRE_PEDS'!$A$1:$E$30,MATCH($H108,'2026_BUMCT_ALLO_UNRE_PEDS'!$A$1:$A$30),MATCH(I108,'2026_BUMCT_ALLO_UNRE_PEDS'!$A$1:$D$1)),30)</f>
        <v>DONOR HARVEST (includes stem c</v>
      </c>
      <c r="O108" s="16" t="s">
        <v>355</v>
      </c>
      <c r="P108" s="507" t="str">
        <f>O108</f>
        <v>NBMD or Cord blood Invoice Cost</v>
      </c>
      <c r="Q108" s="14" t="s">
        <v>354</v>
      </c>
    </row>
    <row r="109" spans="1:17">
      <c r="A109" s="1" t="e">
        <f ca="1">'2026_BUMCT_ALLO_UNRE_PEDS'!$A$1</f>
        <v>#VALUE!</v>
      </c>
      <c r="B109" s="14" t="e">
        <f t="shared" ca="1" si="14"/>
        <v>#VALUE!</v>
      </c>
      <c r="C109" s="1" t="s">
        <v>357</v>
      </c>
      <c r="D109" s="4" t="e" cm="1">
        <f t="array" aca="1" ref="D109" ca="1">RIGHT(INDIRECT(ADDRESS(6,2,,,$A109)),6)</f>
        <v>#VALUE!</v>
      </c>
      <c r="E109" s="1" t="e" cm="1">
        <f t="array" aca="1" ref="E109" ca="1">RIGHT(INDIRECT(ADDRESS(4,2,,,$A109)),5)</f>
        <v>#VALUE!</v>
      </c>
      <c r="F109" s="22">
        <v>1.0335000000000001</v>
      </c>
      <c r="G109" s="22">
        <f t="shared" si="15"/>
        <v>1.0325</v>
      </c>
      <c r="H109" s="7">
        <v>4</v>
      </c>
      <c r="I109" s="7">
        <v>3</v>
      </c>
      <c r="J109" s="26">
        <v>4</v>
      </c>
      <c r="K109" s="26"/>
      <c r="L109" s="26" t="s">
        <v>350</v>
      </c>
      <c r="M109" s="26" t="s">
        <v>351</v>
      </c>
      <c r="N109" s="9" t="str">
        <f>LEFT(INDEX('2026_BUMCT_ALLO_UNRE_PEDS'!$A$1:$E$30,MATCH($H109,'2026_BUMCT_ALLO_UNRE_PEDS'!$A$1:$A$30),MATCH(I109,'2026_BUMCT_ALLO_UNRE_PEDS'!$A$1:$D$1)),30)</f>
        <v>PREP AND TRANSPLANT</v>
      </c>
      <c r="O109" s="16">
        <v>63311</v>
      </c>
      <c r="P109" s="507">
        <f t="shared" ref="P109:P112" si="23">ROUND(O109*$G$2,0)</f>
        <v>65369</v>
      </c>
    </row>
    <row r="110" spans="1:17">
      <c r="A110" s="1" t="e">
        <f ca="1">'2026_BUMCT_ALLO_UNRE_PEDS'!$A$1</f>
        <v>#VALUE!</v>
      </c>
      <c r="B110" s="14" t="e">
        <f t="shared" ca="1" si="14"/>
        <v>#VALUE!</v>
      </c>
      <c r="C110" s="1" t="s">
        <v>357</v>
      </c>
      <c r="D110" s="4" t="e" cm="1">
        <f t="array" aca="1" ref="D110" ca="1">RIGHT(INDIRECT(ADDRESS(6,2,,,$A110)),6)</f>
        <v>#VALUE!</v>
      </c>
      <c r="E110" s="1" t="e" cm="1">
        <f t="array" aca="1" ref="E110" ca="1">RIGHT(INDIRECT(ADDRESS(4,2,,,$A110)),5)</f>
        <v>#VALUE!</v>
      </c>
      <c r="F110" s="22">
        <v>1.0335000000000001</v>
      </c>
      <c r="G110" s="22">
        <f t="shared" si="15"/>
        <v>1.0325</v>
      </c>
      <c r="H110" s="7">
        <v>5</v>
      </c>
      <c r="I110" s="7">
        <v>3</v>
      </c>
      <c r="J110" s="26">
        <v>4</v>
      </c>
      <c r="K110" s="26"/>
      <c r="L110" s="26" t="s">
        <v>350</v>
      </c>
      <c r="M110" s="26" t="s">
        <v>351</v>
      </c>
      <c r="N110" s="9" t="str">
        <f>LEFT(INDEX('2026_BUMCT_ALLO_UNRE_PEDS'!$A$1:$E$30,MATCH($H110,'2026_BUMCT_ALLO_UNRE_PEDS'!$A$1:$A$30),MATCH(I110,'2026_BUMCT_ALLO_UNRE_PEDS'!$A$1:$D$1)),30)</f>
        <v>FOLLOW UP CARE - From day 1 po</v>
      </c>
      <c r="O110" s="16">
        <v>100006</v>
      </c>
      <c r="P110" s="507">
        <f t="shared" si="23"/>
        <v>103256</v>
      </c>
    </row>
    <row r="111" spans="1:17">
      <c r="A111" s="1" t="e">
        <f ca="1">'2026_BUMCT_ALLO_UNRE_PEDS'!$A$1</f>
        <v>#VALUE!</v>
      </c>
      <c r="B111" s="14" t="e">
        <f t="shared" ca="1" si="14"/>
        <v>#VALUE!</v>
      </c>
      <c r="C111" s="1" t="s">
        <v>357</v>
      </c>
      <c r="D111" s="4" t="e" cm="1">
        <f t="array" aca="1" ref="D111" ca="1">RIGHT(INDIRECT(ADDRESS(6,2,,,$A111)),6)</f>
        <v>#VALUE!</v>
      </c>
      <c r="E111" s="1" t="e" cm="1">
        <f t="array" aca="1" ref="E111" ca="1">RIGHT(INDIRECT(ADDRESS(4,2,,,$A111)),5)</f>
        <v>#VALUE!</v>
      </c>
      <c r="F111" s="22">
        <v>1.0335000000000001</v>
      </c>
      <c r="G111" s="22">
        <f t="shared" si="15"/>
        <v>1.0325</v>
      </c>
      <c r="H111" s="7">
        <v>6</v>
      </c>
      <c r="I111" s="7">
        <v>3</v>
      </c>
      <c r="J111" s="26">
        <v>4</v>
      </c>
      <c r="K111" s="26"/>
      <c r="L111" s="26" t="s">
        <v>350</v>
      </c>
      <c r="M111" s="26" t="s">
        <v>351</v>
      </c>
      <c r="N111" s="9" t="str">
        <f>LEFT(INDEX('2026_BUMCT_ALLO_UNRE_PEDS'!$A$1:$E$30,MATCH($H111,'2026_BUMCT_ALLO_UNRE_PEDS'!$A$1:$A$30),MATCH(I111,'2026_BUMCT_ALLO_UNRE_PEDS'!$A$1:$D$1)),30)</f>
        <v xml:space="preserve">FOLLOW UP CARE - From day 31  </v>
      </c>
      <c r="O111" s="16">
        <v>33071</v>
      </c>
      <c r="P111" s="507">
        <f t="shared" si="23"/>
        <v>34146</v>
      </c>
    </row>
    <row r="112" spans="1:17">
      <c r="A112" s="1" t="e">
        <f ca="1">'2026_BUMCT_ALLO_UNRE_PEDS'!$A$1</f>
        <v>#VALUE!</v>
      </c>
      <c r="B112" s="14" t="e">
        <f t="shared" ca="1" si="14"/>
        <v>#VALUE!</v>
      </c>
      <c r="C112" s="1" t="s">
        <v>357</v>
      </c>
      <c r="D112" s="4" t="e" cm="1">
        <f t="array" aca="1" ref="D112" ca="1">RIGHT(INDIRECT(ADDRESS(6,2,,,$A112)),6)</f>
        <v>#VALUE!</v>
      </c>
      <c r="E112" s="1" t="e" cm="1">
        <f t="array" aca="1" ref="E112" ca="1">RIGHT(INDIRECT(ADDRESS(4,2,,,$A112)),5)</f>
        <v>#VALUE!</v>
      </c>
      <c r="F112" s="22">
        <v>1.0335000000000001</v>
      </c>
      <c r="G112" s="22">
        <f t="shared" si="15"/>
        <v>1.0325</v>
      </c>
      <c r="H112" s="7">
        <v>7</v>
      </c>
      <c r="I112" s="7">
        <v>3</v>
      </c>
      <c r="J112" s="26">
        <v>4</v>
      </c>
      <c r="K112" s="26"/>
      <c r="L112" s="26" t="s">
        <v>350</v>
      </c>
      <c r="M112" s="26" t="s">
        <v>351</v>
      </c>
      <c r="N112" s="9" t="str">
        <f>LEFT(INDEX('2026_BUMCT_ALLO_UNRE_PEDS'!$A$1:$E$30,MATCH($H112,'2026_BUMCT_ALLO_UNRE_PEDS'!$A$1:$A$30),MATCH(I112,'2026_BUMCT_ALLO_UNRE_PEDS'!$A$1:$D$1)),30)</f>
        <v xml:space="preserve">PER DIEM RATES for day 61+ of </v>
      </c>
      <c r="O112" s="16">
        <v>2474</v>
      </c>
      <c r="P112" s="507">
        <f t="shared" si="23"/>
        <v>2554</v>
      </c>
    </row>
    <row r="113" spans="1:17">
      <c r="A113" s="1" t="e">
        <f ca="1">'2026_BUMCT_ALLO_UNRE_PEDS'!$A$1</f>
        <v>#VALUE!</v>
      </c>
      <c r="B113" s="14" t="e">
        <f t="shared" ca="1" si="14"/>
        <v>#VALUE!</v>
      </c>
      <c r="C113" s="1" t="s">
        <v>357</v>
      </c>
      <c r="D113" s="4" t="e" cm="1">
        <f t="array" aca="1" ref="D113" ca="1">RIGHT(INDIRECT(ADDRESS(6,2,,,$A113)),6)</f>
        <v>#VALUE!</v>
      </c>
      <c r="E113" s="1" t="e" cm="1">
        <f t="array" aca="1" ref="E113" ca="1">RIGHT(INDIRECT(ADDRESS(4,2,,,$A113)),5)</f>
        <v>#VALUE!</v>
      </c>
      <c r="F113" s="22">
        <v>1.0335000000000001</v>
      </c>
      <c r="G113" s="22">
        <f t="shared" si="15"/>
        <v>1.0325</v>
      </c>
      <c r="H113" s="7">
        <v>8</v>
      </c>
      <c r="I113" s="7">
        <v>3</v>
      </c>
      <c r="J113" s="26">
        <v>4</v>
      </c>
      <c r="K113" s="26"/>
      <c r="L113" s="26" t="s">
        <v>350</v>
      </c>
      <c r="M113" s="26" t="s">
        <v>351</v>
      </c>
      <c r="N113" s="9" t="str">
        <f>LEFT(INDEX('2026_BUMCT_ALLO_UNRE_PEDS'!$A$1:$E$30,MATCH($H113,'2026_BUMCT_ALLO_UNRE_PEDS'!$A$1:$A$30),MATCH(I113,'2026_BUMCT_ALLO_UNRE_PEDS'!$A$1:$D$1)),30)</f>
        <v>Days 11+/61+ paid at the per d</v>
      </c>
      <c r="O113" s="16">
        <v>7263.18</v>
      </c>
      <c r="P113" s="509">
        <f>O113*$Q$2</f>
        <v>8014.1928120000002</v>
      </c>
      <c r="Q113" s="14" t="s">
        <v>352</v>
      </c>
    </row>
    <row r="114" spans="1:17">
      <c r="A114" s="1" t="e">
        <f ca="1">'2026_BUMCT_ALLO_UNRE_PEDS'!$A$1</f>
        <v>#VALUE!</v>
      </c>
      <c r="B114" s="14" t="e">
        <f t="shared" ca="1" si="14"/>
        <v>#VALUE!</v>
      </c>
      <c r="C114" s="1" t="s">
        <v>357</v>
      </c>
      <c r="D114" s="4" t="e" cm="1">
        <f t="array" aca="1" ref="D114" ca="1">RIGHT(INDIRECT(ADDRESS(6,2,,,$A114)),6)</f>
        <v>#VALUE!</v>
      </c>
      <c r="E114" s="1" t="e" cm="1">
        <f t="array" aca="1" ref="E114" ca="1">RIGHT(INDIRECT(ADDRESS(4,2,,,$A114)),5)</f>
        <v>#VALUE!</v>
      </c>
      <c r="F114" s="22">
        <v>1.0335000000000001</v>
      </c>
      <c r="G114" s="22">
        <f t="shared" si="15"/>
        <v>1.0325</v>
      </c>
      <c r="H114" s="7">
        <v>9</v>
      </c>
      <c r="I114" s="7">
        <v>3</v>
      </c>
      <c r="J114" s="26">
        <v>4</v>
      </c>
      <c r="K114" s="26"/>
      <c r="L114" s="26" t="s">
        <v>350</v>
      </c>
      <c r="M114" s="26" t="s">
        <v>351</v>
      </c>
      <c r="N114" s="9" t="str">
        <f>LEFT(INDEX('2026_BUMCT_ALLO_UNRE_PEDS'!$A$1:$E$30,MATCH($H114,'2026_BUMCT_ALLO_UNRE_PEDS'!$A$1:$A$30),MATCH(I114,'2026_BUMCT_ALLO_UNRE_PEDS'!$A$1:$D$1)),30)</f>
        <v>Outliers: Matched unrelated al</v>
      </c>
      <c r="O114" s="16">
        <v>273197</v>
      </c>
      <c r="P114" s="507">
        <f t="shared" ref="P114" si="24">ROUND(O114*$G$2,0)</f>
        <v>282076</v>
      </c>
      <c r="Q114" s="14" t="s">
        <v>353</v>
      </c>
    </row>
    <row r="115" spans="1:17">
      <c r="A115" s="1" t="e">
        <f ca="1">'2026_BUMCT_ALLO_UNRE_PEDS'!$A$1</f>
        <v>#VALUE!</v>
      </c>
      <c r="B115" s="14" t="e">
        <f t="shared" ca="1" si="14"/>
        <v>#VALUE!</v>
      </c>
      <c r="C115" s="1" t="s">
        <v>357</v>
      </c>
      <c r="D115" s="4" t="e" cm="1">
        <f t="array" aca="1" ref="D115" ca="1">RIGHT(INDIRECT(ADDRESS(6,2,,,$A115)),6)</f>
        <v>#VALUE!</v>
      </c>
      <c r="E115" s="1" t="e" cm="1">
        <f t="array" aca="1" ref="E115" ca="1">RIGHT(INDIRECT(ADDRESS(4,2,,,$A115)),5)</f>
        <v>#VALUE!</v>
      </c>
      <c r="F115" s="22">
        <v>1.0335000000000001</v>
      </c>
      <c r="G115" s="22">
        <f t="shared" si="15"/>
        <v>1.0325</v>
      </c>
      <c r="H115" s="7">
        <v>10</v>
      </c>
      <c r="I115" s="7">
        <v>3</v>
      </c>
      <c r="J115" s="26">
        <v>4</v>
      </c>
      <c r="K115" s="26"/>
      <c r="L115" s="26" t="s">
        <v>350</v>
      </c>
      <c r="M115" s="26" t="s">
        <v>351</v>
      </c>
      <c r="N115" s="9" t="str">
        <f>LEFT(INDEX('2026_BUMCT_ALLO_UNRE_PEDS'!$A$1:$E$30,MATCH($H115,'2026_BUMCT_ALLO_UNRE_PEDS'!$A$1:$A$30),MATCH(I115,'2026_BUMCT_ALLO_UNRE_PEDS'!$A$1:$D$1)),30)</f>
        <v>Rate Above Threshold</v>
      </c>
      <c r="O115" s="16">
        <v>0.5</v>
      </c>
      <c r="P115" s="507">
        <f>O115</f>
        <v>0.5</v>
      </c>
      <c r="Q115" s="14" t="s">
        <v>354</v>
      </c>
    </row>
    <row r="116" spans="1:17">
      <c r="A116" s="1" t="e">
        <f ca="1">'2026_BUMCT_BMT_AUTO_ADULT'!$A$1</f>
        <v>#VALUE!</v>
      </c>
      <c r="B116" s="14" t="e">
        <f t="shared" ca="1" si="14"/>
        <v>#VALUE!</v>
      </c>
      <c r="C116" s="1" t="s">
        <v>357</v>
      </c>
      <c r="D116" s="4" t="e" cm="1">
        <f t="array" aca="1" ref="D116" ca="1">RIGHT(INDIRECT(ADDRESS(6,2,,,$A116)),6)</f>
        <v>#VALUE!</v>
      </c>
      <c r="E116" s="1" t="e" cm="1">
        <f t="array" aca="1" ref="E116" ca="1">RIGHT(INDIRECT(ADDRESS(4,2,,,$A116)),5)</f>
        <v>#VALUE!</v>
      </c>
      <c r="F116" s="22">
        <v>1.0335000000000001</v>
      </c>
      <c r="G116" s="22">
        <f t="shared" si="15"/>
        <v>1.0325</v>
      </c>
      <c r="H116" s="7">
        <v>1</v>
      </c>
      <c r="I116" s="7">
        <v>3</v>
      </c>
      <c r="J116" s="26">
        <v>4</v>
      </c>
      <c r="K116" s="26"/>
      <c r="L116" s="26" t="s">
        <v>350</v>
      </c>
      <c r="M116" s="26" t="s">
        <v>351</v>
      </c>
      <c r="N116" s="9" t="str">
        <f>LEFT(INDEX('2026_BUMCT_BMT_AUTO_ADULT'!$A$1:$E$30,MATCH($H116,'2026_BUMCT_BMT_AUTO_ADULT'!$A$1:$A$30),MATCH(I116,'2026_BUMCT_BMT_AUTO_ADULT'!$A$1:$D$1)),30)</f>
        <v>OUTPATIENT EVALUATION* - Initi</v>
      </c>
      <c r="O116" s="16">
        <v>6304</v>
      </c>
      <c r="P116" s="507">
        <f t="shared" ref="P116:P121" si="25">ROUND(O116*$G$2,0)</f>
        <v>6509</v>
      </c>
    </row>
    <row r="117" spans="1:17">
      <c r="A117" s="1" t="e">
        <f ca="1">'2026_BUMCT_BMT_AUTO_ADULT'!$A$1</f>
        <v>#VALUE!</v>
      </c>
      <c r="B117" s="14" t="e">
        <f t="shared" ca="1" si="14"/>
        <v>#VALUE!</v>
      </c>
      <c r="C117" s="1" t="s">
        <v>357</v>
      </c>
      <c r="D117" s="4" t="e" cm="1">
        <f t="array" aca="1" ref="D117" ca="1">RIGHT(INDIRECT(ADDRESS(6,2,,,$A117)),6)</f>
        <v>#VALUE!</v>
      </c>
      <c r="E117" s="1" t="e" cm="1">
        <f t="array" aca="1" ref="E117" ca="1">RIGHT(INDIRECT(ADDRESS(4,2,,,$A117)),5)</f>
        <v>#VALUE!</v>
      </c>
      <c r="F117" s="22">
        <v>1.0335000000000001</v>
      </c>
      <c r="G117" s="22">
        <f t="shared" si="15"/>
        <v>1.0325</v>
      </c>
      <c r="H117" s="7">
        <v>2</v>
      </c>
      <c r="I117" s="7">
        <v>3</v>
      </c>
      <c r="J117" s="26">
        <v>4</v>
      </c>
      <c r="K117" s="26"/>
      <c r="L117" s="26" t="s">
        <v>350</v>
      </c>
      <c r="M117" s="26" t="s">
        <v>351</v>
      </c>
      <c r="N117" s="9" t="str">
        <f>LEFT(INDEX('2026_BUMCT_BMT_AUTO_ADULT'!$A$1:$E$30,MATCH($H117,'2026_BUMCT_BMT_AUTO_ADULT'!$A$1:$A$30),MATCH(I117,'2026_BUMCT_BMT_AUTO_ADULT'!$A$1:$D$1)),30)</f>
        <v>AUTOLOGOUS HARVEST</v>
      </c>
      <c r="O117" s="16">
        <v>16607</v>
      </c>
      <c r="P117" s="507">
        <f t="shared" si="25"/>
        <v>17147</v>
      </c>
    </row>
    <row r="118" spans="1:17">
      <c r="A118" s="1" t="e">
        <f ca="1">'2026_BUMCT_BMT_AUTO_ADULT'!$A$1</f>
        <v>#VALUE!</v>
      </c>
      <c r="B118" s="14" t="e">
        <f t="shared" ca="1" si="14"/>
        <v>#VALUE!</v>
      </c>
      <c r="C118" s="1" t="s">
        <v>357</v>
      </c>
      <c r="D118" s="4" t="e" cm="1">
        <f t="array" aca="1" ref="D118" ca="1">RIGHT(INDIRECT(ADDRESS(6,2,,,$A118)),6)</f>
        <v>#VALUE!</v>
      </c>
      <c r="E118" s="1" t="e" cm="1">
        <f t="array" aca="1" ref="E118" ca="1">RIGHT(INDIRECT(ADDRESS(4,2,,,$A118)),5)</f>
        <v>#VALUE!</v>
      </c>
      <c r="F118" s="22">
        <v>1.0335000000000001</v>
      </c>
      <c r="G118" s="22">
        <f t="shared" si="15"/>
        <v>1.0325</v>
      </c>
      <c r="H118" s="7">
        <v>3</v>
      </c>
      <c r="I118" s="7">
        <v>3</v>
      </c>
      <c r="J118" s="26">
        <v>4</v>
      </c>
      <c r="K118" s="26"/>
      <c r="L118" s="26" t="s">
        <v>350</v>
      </c>
      <c r="M118" s="26" t="s">
        <v>351</v>
      </c>
      <c r="N118" s="9" t="str">
        <f>LEFT(INDEX('2026_BUMCT_BMT_AUTO_ADULT'!$A$1:$E$30,MATCH($H118,'2026_BUMCT_BMT_AUTO_ADULT'!$A$1:$A$30),MATCH(I118,'2026_BUMCT_BMT_AUTO_ADULT'!$A$1:$D$1)),30)</f>
        <v>PREP AND TRANSPLANT</v>
      </c>
      <c r="O118" s="16">
        <v>61835</v>
      </c>
      <c r="P118" s="507">
        <f t="shared" si="25"/>
        <v>63845</v>
      </c>
    </row>
    <row r="119" spans="1:17">
      <c r="A119" s="1" t="e">
        <f ca="1">'2026_BUMCT_BMT_AUTO_ADULT'!$A$1</f>
        <v>#VALUE!</v>
      </c>
      <c r="B119" s="14" t="e">
        <f t="shared" ca="1" si="14"/>
        <v>#VALUE!</v>
      </c>
      <c r="C119" s="1" t="s">
        <v>357</v>
      </c>
      <c r="D119" s="4" t="e" cm="1">
        <f t="array" aca="1" ref="D119" ca="1">RIGHT(INDIRECT(ADDRESS(6,2,,,$A119)),6)</f>
        <v>#VALUE!</v>
      </c>
      <c r="E119" s="1" t="e" cm="1">
        <f t="array" aca="1" ref="E119" ca="1">RIGHT(INDIRECT(ADDRESS(4,2,,,$A119)),5)</f>
        <v>#VALUE!</v>
      </c>
      <c r="F119" s="22">
        <v>1.0335000000000001</v>
      </c>
      <c r="G119" s="22">
        <f t="shared" si="15"/>
        <v>1.0325</v>
      </c>
      <c r="H119" s="7">
        <v>4</v>
      </c>
      <c r="I119" s="7">
        <v>3</v>
      </c>
      <c r="J119" s="26">
        <v>4</v>
      </c>
      <c r="K119" s="26"/>
      <c r="L119" s="26" t="s">
        <v>350</v>
      </c>
      <c r="M119" s="26" t="s">
        <v>351</v>
      </c>
      <c r="N119" s="9" t="str">
        <f>LEFT(INDEX('2026_BUMCT_BMT_AUTO_ADULT'!$A$1:$E$30,MATCH($H119,'2026_BUMCT_BMT_AUTO_ADULT'!$A$1:$A$30),MATCH(I119,'2026_BUMCT_BMT_AUTO_ADULT'!$A$1:$D$1)),30)</f>
        <v>FOLLOW UP CARE - From day 1 po</v>
      </c>
      <c r="O119" s="16">
        <v>83833</v>
      </c>
      <c r="P119" s="507">
        <f t="shared" si="25"/>
        <v>86558</v>
      </c>
    </row>
    <row r="120" spans="1:17">
      <c r="A120" s="1" t="e">
        <f ca="1">'2026_BUMCT_BMT_AUTO_ADULT'!$A$1</f>
        <v>#VALUE!</v>
      </c>
      <c r="B120" s="14" t="e">
        <f t="shared" ca="1" si="14"/>
        <v>#VALUE!</v>
      </c>
      <c r="C120" s="1" t="s">
        <v>357</v>
      </c>
      <c r="D120" s="4" t="e" cm="1">
        <f t="array" aca="1" ref="D120" ca="1">RIGHT(INDIRECT(ADDRESS(6,2,,,$A120)),6)</f>
        <v>#VALUE!</v>
      </c>
      <c r="E120" s="1" t="e" cm="1">
        <f t="array" aca="1" ref="E120" ca="1">RIGHT(INDIRECT(ADDRESS(4,2,,,$A120)),5)</f>
        <v>#VALUE!</v>
      </c>
      <c r="F120" s="22">
        <v>1.0335000000000001</v>
      </c>
      <c r="G120" s="22">
        <f t="shared" si="15"/>
        <v>1.0325</v>
      </c>
      <c r="H120" s="7">
        <v>5</v>
      </c>
      <c r="I120" s="7">
        <v>3</v>
      </c>
      <c r="J120" s="26">
        <v>4</v>
      </c>
      <c r="K120" s="26"/>
      <c r="L120" s="26" t="s">
        <v>350</v>
      </c>
      <c r="M120" s="26" t="s">
        <v>351</v>
      </c>
      <c r="N120" s="9" t="str">
        <f>LEFT(INDEX('2026_BUMCT_BMT_AUTO_ADULT'!$A$1:$E$30,MATCH($H120,'2026_BUMCT_BMT_AUTO_ADULT'!$A$1:$A$30),MATCH(I120,'2026_BUMCT_BMT_AUTO_ADULT'!$A$1:$D$1)),30)</f>
        <v xml:space="preserve">FOLLOW UP CARE - From day 31  </v>
      </c>
      <c r="O120" s="16">
        <v>11908</v>
      </c>
      <c r="P120" s="507">
        <f t="shared" si="25"/>
        <v>12295</v>
      </c>
    </row>
    <row r="121" spans="1:17">
      <c r="A121" s="1" t="e">
        <f ca="1">'2026_BUMCT_BMT_AUTO_ADULT'!$A$1</f>
        <v>#VALUE!</v>
      </c>
      <c r="B121" s="14" t="e">
        <f t="shared" ca="1" si="14"/>
        <v>#VALUE!</v>
      </c>
      <c r="C121" s="1" t="s">
        <v>357</v>
      </c>
      <c r="D121" s="4" t="e" cm="1">
        <f t="array" aca="1" ref="D121" ca="1">RIGHT(INDIRECT(ADDRESS(6,2,,,$A121)),6)</f>
        <v>#VALUE!</v>
      </c>
      <c r="E121" s="1" t="e" cm="1">
        <f t="array" aca="1" ref="E121" ca="1">RIGHT(INDIRECT(ADDRESS(4,2,,,$A121)),5)</f>
        <v>#VALUE!</v>
      </c>
      <c r="F121" s="22">
        <v>1.0335000000000001</v>
      </c>
      <c r="G121" s="22">
        <f t="shared" si="15"/>
        <v>1.0325</v>
      </c>
      <c r="H121" s="7">
        <v>6</v>
      </c>
      <c r="I121" s="7">
        <v>3</v>
      </c>
      <c r="J121" s="26">
        <v>4</v>
      </c>
      <c r="K121" s="26"/>
      <c r="L121" s="26" t="s">
        <v>350</v>
      </c>
      <c r="M121" s="26" t="s">
        <v>351</v>
      </c>
      <c r="N121" s="9" t="str">
        <f>LEFT(INDEX('2026_BUMCT_BMT_AUTO_ADULT'!$A$1:$E$30,MATCH($H121,'2026_BUMCT_BMT_AUTO_ADULT'!$A$1:$A$30),MATCH(I121,'2026_BUMCT_BMT_AUTO_ADULT'!$A$1:$D$1)),30)</f>
        <v xml:space="preserve">PER DIEM RATES for day 61+ of </v>
      </c>
      <c r="O121" s="16">
        <v>2474</v>
      </c>
      <c r="P121" s="507">
        <f t="shared" si="25"/>
        <v>2554</v>
      </c>
    </row>
    <row r="122" spans="1:17">
      <c r="A122" s="1" t="e">
        <f ca="1">'2026_BUMCT_BMT_AUTO_ADULT'!$A$1</f>
        <v>#VALUE!</v>
      </c>
      <c r="B122" s="14" t="e">
        <f t="shared" ca="1" si="14"/>
        <v>#VALUE!</v>
      </c>
      <c r="C122" s="1" t="s">
        <v>357</v>
      </c>
      <c r="D122" s="4" t="e" cm="1">
        <f t="array" aca="1" ref="D122" ca="1">RIGHT(INDIRECT(ADDRESS(6,2,,,$A122)),6)</f>
        <v>#VALUE!</v>
      </c>
      <c r="E122" s="1" t="e" cm="1">
        <f t="array" aca="1" ref="E122" ca="1">RIGHT(INDIRECT(ADDRESS(4,2,,,$A122)),5)</f>
        <v>#VALUE!</v>
      </c>
      <c r="F122" s="22">
        <v>1.0335000000000001</v>
      </c>
      <c r="G122" s="22">
        <f t="shared" si="15"/>
        <v>1.0325</v>
      </c>
      <c r="H122" s="7">
        <v>7</v>
      </c>
      <c r="I122" s="7">
        <v>3</v>
      </c>
      <c r="J122" s="26">
        <v>4</v>
      </c>
      <c r="K122" s="26"/>
      <c r="L122" s="26" t="s">
        <v>350</v>
      </c>
      <c r="M122" s="26" t="s">
        <v>351</v>
      </c>
      <c r="N122" s="9" t="str">
        <f>LEFT(INDEX('2026_BUMCT_BMT_AUTO_ADULT'!$A$1:$E$30,MATCH($H122,'2026_BUMCT_BMT_AUTO_ADULT'!$A$1:$A$30),MATCH(I122,'2026_BUMCT_BMT_AUTO_ADULT'!$A$1:$D$1)),30)</f>
        <v>Days 11+/61+ paid at the per d</v>
      </c>
      <c r="O122" s="16">
        <v>7263.18</v>
      </c>
      <c r="P122" s="509">
        <f>O122*$Q$2</f>
        <v>8014.1928120000002</v>
      </c>
      <c r="Q122" s="14" t="s">
        <v>352</v>
      </c>
    </row>
    <row r="123" spans="1:17">
      <c r="A123" s="1" t="e">
        <f ca="1">'2026_BUMCT_BMT_ALLO_REL_ADULT'!$A$1</f>
        <v>#VALUE!</v>
      </c>
      <c r="B123" s="14" t="e">
        <f t="shared" ca="1" si="14"/>
        <v>#VALUE!</v>
      </c>
      <c r="C123" s="1" t="s">
        <v>357</v>
      </c>
      <c r="D123" s="4" t="e" cm="1">
        <f t="array" aca="1" ref="D123" ca="1">RIGHT(INDIRECT(ADDRESS(6,2,,,$A123)),6)</f>
        <v>#VALUE!</v>
      </c>
      <c r="E123" s="1" t="e" cm="1">
        <f t="array" aca="1" ref="E123" ca="1">RIGHT(INDIRECT(ADDRESS(4,2,,,$A123)),5)</f>
        <v>#VALUE!</v>
      </c>
      <c r="F123" s="22">
        <v>1.0335000000000001</v>
      </c>
      <c r="G123" s="22">
        <f t="shared" si="15"/>
        <v>1.0325</v>
      </c>
      <c r="H123" s="7">
        <v>1</v>
      </c>
      <c r="I123" s="7">
        <v>3</v>
      </c>
      <c r="J123" s="26">
        <v>4</v>
      </c>
      <c r="K123" s="26"/>
      <c r="L123" s="26" t="s">
        <v>350</v>
      </c>
      <c r="M123" s="26" t="s">
        <v>351</v>
      </c>
      <c r="N123" s="9" t="str">
        <f>LEFT(INDEX('2026_BUMCT_BMT_ALLO_REL_ADULT'!$A$1:$E$30,MATCH($H123,'2026_BUMCT_BMT_ALLO_REL_ADULT'!$A$1:$A$30),MATCH(I123,'2026_BUMCT_BMT_ALLO_REL_ADULT'!$A$1:$D$1)),30)</f>
        <v>OUTPATIENT EVALUATION* - Initi</v>
      </c>
      <c r="O123" s="16">
        <v>6348</v>
      </c>
      <c r="P123" s="507">
        <f t="shared" ref="P123:P129" si="26">ROUND(O123*$G$2,0)</f>
        <v>6554</v>
      </c>
    </row>
    <row r="124" spans="1:17">
      <c r="A124" s="1" t="e">
        <f ca="1">'2026_BUMCT_BMT_ALLO_REL_ADULT'!$A$1</f>
        <v>#VALUE!</v>
      </c>
      <c r="B124" s="14" t="e">
        <f t="shared" ca="1" si="14"/>
        <v>#VALUE!</v>
      </c>
      <c r="C124" s="1" t="s">
        <v>357</v>
      </c>
      <c r="D124" s="4" t="e" cm="1">
        <f t="array" aca="1" ref="D124" ca="1">RIGHT(INDIRECT(ADDRESS(6,2,,,$A124)),6)</f>
        <v>#VALUE!</v>
      </c>
      <c r="E124" s="1" t="e" cm="1">
        <f t="array" aca="1" ref="E124" ca="1">RIGHT(INDIRECT(ADDRESS(4,2,,,$A124)),5)</f>
        <v>#VALUE!</v>
      </c>
      <c r="F124" s="22">
        <v>1.0335000000000001</v>
      </c>
      <c r="G124" s="22">
        <f t="shared" si="15"/>
        <v>1.0325</v>
      </c>
      <c r="H124" s="7">
        <v>2</v>
      </c>
      <c r="I124" s="7">
        <v>3</v>
      </c>
      <c r="J124" s="26">
        <v>4</v>
      </c>
      <c r="K124" s="26"/>
      <c r="L124" s="26" t="s">
        <v>350</v>
      </c>
      <c r="M124" s="26" t="s">
        <v>351</v>
      </c>
      <c r="N124" s="9" t="str">
        <f>LEFT(INDEX('2026_BUMCT_BMT_ALLO_REL_ADULT'!$A$1:$E$30,MATCH($H124,'2026_BUMCT_BMT_ALLO_REL_ADULT'!$A$1:$A$30),MATCH(I124,'2026_BUMCT_BMT_ALLO_REL_ADULT'!$A$1:$D$1)),30)</f>
        <v>RELATED DONOR SEARCH*</v>
      </c>
      <c r="O124" s="16">
        <v>5190</v>
      </c>
      <c r="P124" s="507">
        <f t="shared" si="26"/>
        <v>5359</v>
      </c>
    </row>
    <row r="125" spans="1:17">
      <c r="A125" s="1" t="e">
        <f ca="1">'2026_BUMCT_BMT_ALLO_REL_ADULT'!$A$1</f>
        <v>#VALUE!</v>
      </c>
      <c r="B125" s="14" t="e">
        <f t="shared" ca="1" si="14"/>
        <v>#VALUE!</v>
      </c>
      <c r="C125" s="1" t="s">
        <v>357</v>
      </c>
      <c r="D125" s="4" t="e" cm="1">
        <f t="array" aca="1" ref="D125" ca="1">RIGHT(INDIRECT(ADDRESS(6,2,,,$A125)),6)</f>
        <v>#VALUE!</v>
      </c>
      <c r="E125" s="1" t="e" cm="1">
        <f t="array" aca="1" ref="E125" ca="1">RIGHT(INDIRECT(ADDRESS(4,2,,,$A125)),5)</f>
        <v>#VALUE!</v>
      </c>
      <c r="F125" s="22">
        <v>1.0335000000000001</v>
      </c>
      <c r="G125" s="22">
        <f t="shared" si="15"/>
        <v>1.0325</v>
      </c>
      <c r="H125" s="7">
        <v>3</v>
      </c>
      <c r="I125" s="7">
        <v>3</v>
      </c>
      <c r="J125" s="26">
        <v>4</v>
      </c>
      <c r="K125" s="26"/>
      <c r="L125" s="26" t="s">
        <v>350</v>
      </c>
      <c r="M125" s="26" t="s">
        <v>351</v>
      </c>
      <c r="N125" s="9" t="str">
        <f>LEFT(INDEX('2026_BUMCT_BMT_ALLO_REL_ADULT'!$A$1:$E$30,MATCH($H125,'2026_BUMCT_BMT_ALLO_REL_ADULT'!$A$1:$A$30),MATCH(I125,'2026_BUMCT_BMT_ALLO_REL_ADULT'!$A$1:$D$1)),30)</f>
        <v>RELATED DONOR HARVEST</v>
      </c>
      <c r="O125" s="16">
        <v>17125</v>
      </c>
      <c r="P125" s="507">
        <f t="shared" si="26"/>
        <v>17682</v>
      </c>
    </row>
    <row r="126" spans="1:17">
      <c r="A126" s="1" t="e">
        <f ca="1">'2026_BUMCT_BMT_ALLO_REL_ADULT'!$A$1</f>
        <v>#VALUE!</v>
      </c>
      <c r="B126" s="14" t="e">
        <f t="shared" ca="1" si="14"/>
        <v>#VALUE!</v>
      </c>
      <c r="C126" s="1" t="s">
        <v>357</v>
      </c>
      <c r="D126" s="4" t="e" cm="1">
        <f t="array" aca="1" ref="D126" ca="1">RIGHT(INDIRECT(ADDRESS(6,2,,,$A126)),6)</f>
        <v>#VALUE!</v>
      </c>
      <c r="E126" s="1" t="e" cm="1">
        <f t="array" aca="1" ref="E126" ca="1">RIGHT(INDIRECT(ADDRESS(4,2,,,$A126)),5)</f>
        <v>#VALUE!</v>
      </c>
      <c r="F126" s="22">
        <v>1.0335000000000001</v>
      </c>
      <c r="G126" s="22">
        <f t="shared" si="15"/>
        <v>1.0325</v>
      </c>
      <c r="H126" s="7">
        <v>4</v>
      </c>
      <c r="I126" s="7">
        <v>3</v>
      </c>
      <c r="J126" s="26">
        <v>4</v>
      </c>
      <c r="K126" s="26"/>
      <c r="L126" s="26" t="s">
        <v>350</v>
      </c>
      <c r="M126" s="26" t="s">
        <v>351</v>
      </c>
      <c r="N126" s="9" t="str">
        <f>LEFT(INDEX('2026_BUMCT_BMT_ALLO_REL_ADULT'!$A$1:$E$30,MATCH($H126,'2026_BUMCT_BMT_ALLO_REL_ADULT'!$A$1:$A$30),MATCH(I126,'2026_BUMCT_BMT_ALLO_REL_ADULT'!$A$1:$D$1)),30)</f>
        <v>PREP AND TRANSPLANT</v>
      </c>
      <c r="O126" s="16">
        <v>61845</v>
      </c>
      <c r="P126" s="507">
        <f t="shared" si="26"/>
        <v>63855</v>
      </c>
    </row>
    <row r="127" spans="1:17">
      <c r="A127" s="1" t="e">
        <f ca="1">'2026_BUMCT_BMT_ALLO_REL_ADULT'!$A$1</f>
        <v>#VALUE!</v>
      </c>
      <c r="B127" s="14" t="e">
        <f t="shared" ca="1" si="14"/>
        <v>#VALUE!</v>
      </c>
      <c r="C127" s="1" t="s">
        <v>357</v>
      </c>
      <c r="D127" s="4" t="e" cm="1">
        <f t="array" aca="1" ref="D127" ca="1">RIGHT(INDIRECT(ADDRESS(6,2,,,$A127)),6)</f>
        <v>#VALUE!</v>
      </c>
      <c r="E127" s="1" t="e" cm="1">
        <f t="array" aca="1" ref="E127" ca="1">RIGHT(INDIRECT(ADDRESS(4,2,,,$A127)),5)</f>
        <v>#VALUE!</v>
      </c>
      <c r="F127" s="22">
        <v>1.0335000000000001</v>
      </c>
      <c r="G127" s="22">
        <f t="shared" si="15"/>
        <v>1.0325</v>
      </c>
      <c r="H127" s="7">
        <v>5</v>
      </c>
      <c r="I127" s="7">
        <v>3</v>
      </c>
      <c r="J127" s="26">
        <v>4</v>
      </c>
      <c r="K127" s="26"/>
      <c r="L127" s="26" t="s">
        <v>350</v>
      </c>
      <c r="M127" s="26" t="s">
        <v>351</v>
      </c>
      <c r="N127" s="9" t="str">
        <f>LEFT(INDEX('2026_BUMCT_BMT_ALLO_REL_ADULT'!$A$1:$E$30,MATCH($H127,'2026_BUMCT_BMT_ALLO_REL_ADULT'!$A$1:$A$30),MATCH(I127,'2026_BUMCT_BMT_ALLO_REL_ADULT'!$A$1:$D$1)),30)</f>
        <v>FOLLOW UP CARE - From day 1 po</v>
      </c>
      <c r="O127" s="16">
        <v>83849</v>
      </c>
      <c r="P127" s="507">
        <f t="shared" si="26"/>
        <v>86574</v>
      </c>
    </row>
    <row r="128" spans="1:17">
      <c r="A128" s="1" t="e">
        <f ca="1">'2026_BUMCT_BMT_ALLO_REL_ADULT'!$A$1</f>
        <v>#VALUE!</v>
      </c>
      <c r="B128" s="14" t="e">
        <f t="shared" ca="1" si="14"/>
        <v>#VALUE!</v>
      </c>
      <c r="C128" s="1" t="s">
        <v>357</v>
      </c>
      <c r="D128" s="4" t="e" cm="1">
        <f t="array" aca="1" ref="D128" ca="1">RIGHT(INDIRECT(ADDRESS(6,2,,,$A128)),6)</f>
        <v>#VALUE!</v>
      </c>
      <c r="E128" s="1" t="e" cm="1">
        <f t="array" aca="1" ref="E128" ca="1">RIGHT(INDIRECT(ADDRESS(4,2,,,$A128)),5)</f>
        <v>#VALUE!</v>
      </c>
      <c r="F128" s="22">
        <v>1.0335000000000001</v>
      </c>
      <c r="G128" s="22">
        <f t="shared" si="15"/>
        <v>1.0325</v>
      </c>
      <c r="H128" s="7">
        <v>6</v>
      </c>
      <c r="I128" s="7">
        <v>3</v>
      </c>
      <c r="J128" s="26">
        <v>4</v>
      </c>
      <c r="K128" s="26"/>
      <c r="L128" s="26" t="s">
        <v>350</v>
      </c>
      <c r="M128" s="26" t="s">
        <v>351</v>
      </c>
      <c r="N128" s="9" t="str">
        <f>LEFT(INDEX('2026_BUMCT_BMT_ALLO_REL_ADULT'!$A$1:$E$30,MATCH($H128,'2026_BUMCT_BMT_ALLO_REL_ADULT'!$A$1:$A$30),MATCH(I128,'2026_BUMCT_BMT_ALLO_REL_ADULT'!$A$1:$D$1)),30)</f>
        <v xml:space="preserve">FOLLOW UP CARE - From day 31  </v>
      </c>
      <c r="O128" s="16">
        <v>11915</v>
      </c>
      <c r="P128" s="507">
        <f t="shared" si="26"/>
        <v>12302</v>
      </c>
    </row>
    <row r="129" spans="1:17">
      <c r="A129" s="1" t="e">
        <f ca="1">'2026_BUMCT_BMT_ALLO_REL_ADULT'!$A$1</f>
        <v>#VALUE!</v>
      </c>
      <c r="B129" s="14" t="e">
        <f t="shared" ca="1" si="14"/>
        <v>#VALUE!</v>
      </c>
      <c r="C129" s="1" t="s">
        <v>357</v>
      </c>
      <c r="D129" s="4" t="e" cm="1">
        <f t="array" aca="1" ref="D129" ca="1">RIGHT(INDIRECT(ADDRESS(6,2,,,$A129)),6)</f>
        <v>#VALUE!</v>
      </c>
      <c r="E129" s="1" t="e" cm="1">
        <f t="array" aca="1" ref="E129" ca="1">RIGHT(INDIRECT(ADDRESS(4,2,,,$A129)),5)</f>
        <v>#VALUE!</v>
      </c>
      <c r="F129" s="22">
        <v>1.0335000000000001</v>
      </c>
      <c r="G129" s="22">
        <f t="shared" si="15"/>
        <v>1.0325</v>
      </c>
      <c r="H129" s="7">
        <v>7</v>
      </c>
      <c r="I129" s="7">
        <v>3</v>
      </c>
      <c r="J129" s="26">
        <v>4</v>
      </c>
      <c r="K129" s="26"/>
      <c r="L129" s="26" t="s">
        <v>350</v>
      </c>
      <c r="M129" s="26" t="s">
        <v>351</v>
      </c>
      <c r="N129" s="9" t="str">
        <f>LEFT(INDEX('2026_BUMCT_BMT_ALLO_REL_ADULT'!$A$1:$E$30,MATCH($H129,'2026_BUMCT_BMT_ALLO_REL_ADULT'!$A$1:$A$30),MATCH(I129,'2026_BUMCT_BMT_ALLO_REL_ADULT'!$A$1:$D$1)),30)</f>
        <v xml:space="preserve">PER DIEM RATES for day 61+ of </v>
      </c>
      <c r="O129" s="16">
        <v>2474</v>
      </c>
      <c r="P129" s="507">
        <f t="shared" si="26"/>
        <v>2554</v>
      </c>
    </row>
    <row r="130" spans="1:17">
      <c r="A130" s="1" t="e">
        <f ca="1">'2026_BUMCT_BMT_ALLO_REL_ADULT'!$A$1</f>
        <v>#VALUE!</v>
      </c>
      <c r="B130" s="14" t="e">
        <f t="shared" ca="1" si="14"/>
        <v>#VALUE!</v>
      </c>
      <c r="C130" s="1" t="s">
        <v>357</v>
      </c>
      <c r="D130" s="4" t="e" cm="1">
        <f t="array" aca="1" ref="D130" ca="1">RIGHT(INDIRECT(ADDRESS(6,2,,,$A130)),6)</f>
        <v>#VALUE!</v>
      </c>
      <c r="E130" s="1" t="e" cm="1">
        <f t="array" aca="1" ref="E130" ca="1">RIGHT(INDIRECT(ADDRESS(4,2,,,$A130)),5)</f>
        <v>#VALUE!</v>
      </c>
      <c r="F130" s="22">
        <v>1.0335000000000001</v>
      </c>
      <c r="G130" s="22">
        <f t="shared" si="15"/>
        <v>1.0325</v>
      </c>
      <c r="H130" s="7">
        <v>8</v>
      </c>
      <c r="I130" s="7">
        <v>3</v>
      </c>
      <c r="J130" s="26">
        <v>4</v>
      </c>
      <c r="K130" s="26"/>
      <c r="L130" s="26" t="s">
        <v>350</v>
      </c>
      <c r="M130" s="26" t="s">
        <v>351</v>
      </c>
      <c r="N130" s="9" t="str">
        <f>LEFT(INDEX('2026_BUMCT_BMT_ALLO_REL_ADULT'!$A$1:$E$30,MATCH($H130,'2026_BUMCT_BMT_ALLO_REL_ADULT'!$A$1:$A$30),MATCH(I130,'2026_BUMCT_BMT_ALLO_REL_ADULT'!$A$1:$D$1)),30)</f>
        <v>Days 11+/61+ paid at the per d</v>
      </c>
      <c r="O130" s="16">
        <v>7263.18</v>
      </c>
      <c r="P130" s="509">
        <f>O130*$Q$2</f>
        <v>8014.1928120000002</v>
      </c>
      <c r="Q130" s="14" t="s">
        <v>352</v>
      </c>
    </row>
    <row r="131" spans="1:17">
      <c r="A131" s="1" t="e">
        <f ca="1">'2026_BUMCT_BMT_HAPLOID_ADULT'!$A$1</f>
        <v>#VALUE!</v>
      </c>
      <c r="B131" s="14" t="e">
        <f t="shared" ca="1" si="14"/>
        <v>#VALUE!</v>
      </c>
      <c r="C131" s="1" t="s">
        <v>357</v>
      </c>
      <c r="D131" s="4" t="e" cm="1">
        <f t="array" aca="1" ref="D131" ca="1">RIGHT(INDIRECT(ADDRESS(6,2,,,$A131)),6)</f>
        <v>#VALUE!</v>
      </c>
      <c r="E131" s="1" t="e" cm="1">
        <f t="array" aca="1" ref="E131" ca="1">RIGHT(INDIRECT(ADDRESS(4,2,,,$A131)),5)</f>
        <v>#VALUE!</v>
      </c>
      <c r="F131" s="22">
        <v>1.0335000000000001</v>
      </c>
      <c r="G131" s="22">
        <f t="shared" si="15"/>
        <v>1.0325</v>
      </c>
      <c r="H131" s="7">
        <v>1</v>
      </c>
      <c r="I131" s="7">
        <v>3</v>
      </c>
      <c r="J131" s="26">
        <v>4</v>
      </c>
      <c r="K131" s="26"/>
      <c r="L131" s="26" t="s">
        <v>350</v>
      </c>
      <c r="M131" s="26" t="s">
        <v>351</v>
      </c>
      <c r="N131" s="9" t="str">
        <f>LEFT(INDEX('2026_BUMCT_BMT_HAPLOID_ADULT'!$A$1:$E$30,MATCH($H131,'2026_BUMCT_BMT_HAPLOID_ADULT'!$A$1:$A$30),MATCH(I131,'2026_BUMCT_BMT_HAPLOID_ADULT'!$A$1:$D$1)),30)</f>
        <v>OUTPATIENT EVALUATION* - Initi</v>
      </c>
      <c r="O131" s="16">
        <v>6443</v>
      </c>
      <c r="P131" s="507">
        <f t="shared" ref="P131:P137" si="27">ROUND(O131*$G$2,0)</f>
        <v>6652</v>
      </c>
    </row>
    <row r="132" spans="1:17">
      <c r="A132" s="1" t="e">
        <f ca="1">'2026_BUMCT_BMT_HAPLOID_ADULT'!$A$1</f>
        <v>#VALUE!</v>
      </c>
      <c r="B132" s="14" t="e">
        <f t="shared" ca="1" si="14"/>
        <v>#VALUE!</v>
      </c>
      <c r="C132" s="1" t="s">
        <v>357</v>
      </c>
      <c r="D132" s="4" t="e" cm="1">
        <f t="array" aca="1" ref="D132" ca="1">RIGHT(INDIRECT(ADDRESS(6,2,,,$A132)),6)</f>
        <v>#VALUE!</v>
      </c>
      <c r="E132" s="1" t="e" cm="1">
        <f t="array" aca="1" ref="E132" ca="1">RIGHT(INDIRECT(ADDRESS(4,2,,,$A132)),5)</f>
        <v>#VALUE!</v>
      </c>
      <c r="F132" s="22">
        <v>1.0335000000000001</v>
      </c>
      <c r="G132" s="22">
        <f t="shared" si="15"/>
        <v>1.0325</v>
      </c>
      <c r="H132" s="7">
        <v>2</v>
      </c>
      <c r="I132" s="7">
        <v>3</v>
      </c>
      <c r="J132" s="26">
        <v>4</v>
      </c>
      <c r="K132" s="26"/>
      <c r="L132" s="26" t="s">
        <v>350</v>
      </c>
      <c r="M132" s="26" t="s">
        <v>351</v>
      </c>
      <c r="N132" s="9" t="str">
        <f>LEFT(INDEX('2026_BUMCT_BMT_HAPLOID_ADULT'!$A$1:$E$30,MATCH($H132,'2026_BUMCT_BMT_HAPLOID_ADULT'!$A$1:$A$30),MATCH(I132,'2026_BUMCT_BMT_HAPLOID_ADULT'!$A$1:$D$1)),30)</f>
        <v xml:space="preserve">DONOR SEARCH* </v>
      </c>
      <c r="O132" s="16">
        <v>11374</v>
      </c>
      <c r="P132" s="507">
        <f t="shared" si="27"/>
        <v>11744</v>
      </c>
    </row>
    <row r="133" spans="1:17">
      <c r="A133" s="1" t="e">
        <f ca="1">'2026_BUMCT_BMT_HAPLOID_ADULT'!$A$1</f>
        <v>#VALUE!</v>
      </c>
      <c r="B133" s="14" t="e">
        <f t="shared" ref="B133:B196" ca="1" si="28">IF(A133=A132,0,1)</f>
        <v>#VALUE!</v>
      </c>
      <c r="C133" s="1" t="s">
        <v>357</v>
      </c>
      <c r="D133" s="4" t="e" cm="1">
        <f t="array" aca="1" ref="D133" ca="1">RIGHT(INDIRECT(ADDRESS(6,2,,,$A133)),6)</f>
        <v>#VALUE!</v>
      </c>
      <c r="E133" s="1" t="e" cm="1">
        <f t="array" aca="1" ref="E133" ca="1">RIGHT(INDIRECT(ADDRESS(4,2,,,$A133)),5)</f>
        <v>#VALUE!</v>
      </c>
      <c r="F133" s="22">
        <v>1.0335000000000001</v>
      </c>
      <c r="G133" s="22">
        <f t="shared" ref="G133:G196" si="29">$G$2</f>
        <v>1.0325</v>
      </c>
      <c r="H133" s="7">
        <v>3</v>
      </c>
      <c r="I133" s="7">
        <v>3</v>
      </c>
      <c r="J133" s="26">
        <v>4</v>
      </c>
      <c r="K133" s="26"/>
      <c r="L133" s="26" t="s">
        <v>350</v>
      </c>
      <c r="M133" s="26" t="s">
        <v>351</v>
      </c>
      <c r="N133" s="9" t="str">
        <f>LEFT(INDEX('2026_BUMCT_BMT_HAPLOID_ADULT'!$A$1:$E$30,MATCH($H133,'2026_BUMCT_BMT_HAPLOID_ADULT'!$A$1:$A$30),MATCH(I133,'2026_BUMCT_BMT_HAPLOID_ADULT'!$A$1:$D$1)),30)</f>
        <v>DONOR HARVEST (includes stem c</v>
      </c>
      <c r="O133" s="16">
        <v>17125</v>
      </c>
      <c r="P133" s="507">
        <f t="shared" si="27"/>
        <v>17682</v>
      </c>
    </row>
    <row r="134" spans="1:17">
      <c r="A134" s="1" t="e">
        <f ca="1">'2026_BUMCT_BMT_HAPLOID_ADULT'!$A$1</f>
        <v>#VALUE!</v>
      </c>
      <c r="B134" s="14" t="e">
        <f t="shared" ca="1" si="28"/>
        <v>#VALUE!</v>
      </c>
      <c r="C134" s="1" t="s">
        <v>357</v>
      </c>
      <c r="D134" s="4" t="e" cm="1">
        <f t="array" aca="1" ref="D134" ca="1">RIGHT(INDIRECT(ADDRESS(6,2,,,$A134)),6)</f>
        <v>#VALUE!</v>
      </c>
      <c r="E134" s="1" t="e" cm="1">
        <f t="array" aca="1" ref="E134" ca="1">RIGHT(INDIRECT(ADDRESS(4,2,,,$A134)),5)</f>
        <v>#VALUE!</v>
      </c>
      <c r="F134" s="22">
        <v>1.0335000000000001</v>
      </c>
      <c r="G134" s="22">
        <f t="shared" si="29"/>
        <v>1.0325</v>
      </c>
      <c r="H134" s="7">
        <v>4</v>
      </c>
      <c r="I134" s="7">
        <v>3</v>
      </c>
      <c r="J134" s="26">
        <v>4</v>
      </c>
      <c r="K134" s="26"/>
      <c r="L134" s="26" t="s">
        <v>350</v>
      </c>
      <c r="M134" s="26" t="s">
        <v>351</v>
      </c>
      <c r="N134" s="9" t="str">
        <f>LEFT(INDEX('2026_BUMCT_BMT_HAPLOID_ADULT'!$A$1:$E$30,MATCH($H134,'2026_BUMCT_BMT_HAPLOID_ADULT'!$A$1:$A$30),MATCH(I134,'2026_BUMCT_BMT_HAPLOID_ADULT'!$A$1:$D$1)),30)</f>
        <v>PREP AND TRANSPLANT</v>
      </c>
      <c r="O134" s="16">
        <v>61950</v>
      </c>
      <c r="P134" s="507">
        <f t="shared" si="27"/>
        <v>63963</v>
      </c>
    </row>
    <row r="135" spans="1:17">
      <c r="A135" s="1" t="e">
        <f ca="1">'2026_BUMCT_BMT_HAPLOID_ADULT'!$A$1</f>
        <v>#VALUE!</v>
      </c>
      <c r="B135" s="14" t="e">
        <f t="shared" ca="1" si="28"/>
        <v>#VALUE!</v>
      </c>
      <c r="C135" s="1" t="s">
        <v>357</v>
      </c>
      <c r="D135" s="4" t="e" cm="1">
        <f t="array" aca="1" ref="D135" ca="1">RIGHT(INDIRECT(ADDRESS(6,2,,,$A135)),6)</f>
        <v>#VALUE!</v>
      </c>
      <c r="E135" s="1" t="e" cm="1">
        <f t="array" aca="1" ref="E135" ca="1">RIGHT(INDIRECT(ADDRESS(4,2,,,$A135)),5)</f>
        <v>#VALUE!</v>
      </c>
      <c r="F135" s="22">
        <v>1.0335000000000001</v>
      </c>
      <c r="G135" s="22">
        <f t="shared" si="29"/>
        <v>1.0325</v>
      </c>
      <c r="H135" s="7">
        <v>5</v>
      </c>
      <c r="I135" s="7">
        <v>3</v>
      </c>
      <c r="J135" s="26">
        <v>4</v>
      </c>
      <c r="K135" s="26"/>
      <c r="L135" s="26" t="s">
        <v>350</v>
      </c>
      <c r="M135" s="26" t="s">
        <v>351</v>
      </c>
      <c r="N135" s="9" t="str">
        <f>LEFT(INDEX('2026_BUMCT_BMT_HAPLOID_ADULT'!$A$1:$E$30,MATCH($H135,'2026_BUMCT_BMT_HAPLOID_ADULT'!$A$1:$A$30),MATCH(I135,'2026_BUMCT_BMT_HAPLOID_ADULT'!$A$1:$D$1)),30)</f>
        <v>FOLLOW UP CARE - From day 1 po</v>
      </c>
      <c r="O135" s="16">
        <v>97853</v>
      </c>
      <c r="P135" s="507">
        <f t="shared" si="27"/>
        <v>101033</v>
      </c>
    </row>
    <row r="136" spans="1:17">
      <c r="A136" s="1" t="e">
        <f ca="1">'2026_BUMCT_BMT_HAPLOID_ADULT'!$A$1</f>
        <v>#VALUE!</v>
      </c>
      <c r="B136" s="14" t="e">
        <f t="shared" ca="1" si="28"/>
        <v>#VALUE!</v>
      </c>
      <c r="C136" s="1" t="s">
        <v>357</v>
      </c>
      <c r="D136" s="4" t="e" cm="1">
        <f t="array" aca="1" ref="D136" ca="1">RIGHT(INDIRECT(ADDRESS(6,2,,,$A136)),6)</f>
        <v>#VALUE!</v>
      </c>
      <c r="E136" s="1" t="e" cm="1">
        <f t="array" aca="1" ref="E136" ca="1">RIGHT(INDIRECT(ADDRESS(4,2,,,$A136)),5)</f>
        <v>#VALUE!</v>
      </c>
      <c r="F136" s="22">
        <v>1.0335000000000001</v>
      </c>
      <c r="G136" s="22">
        <f t="shared" si="29"/>
        <v>1.0325</v>
      </c>
      <c r="H136" s="7">
        <v>6</v>
      </c>
      <c r="I136" s="7">
        <v>3</v>
      </c>
      <c r="J136" s="26">
        <v>4</v>
      </c>
      <c r="K136" s="26"/>
      <c r="L136" s="26" t="s">
        <v>350</v>
      </c>
      <c r="M136" s="26" t="s">
        <v>351</v>
      </c>
      <c r="N136" s="9" t="str">
        <f>LEFT(INDEX('2026_BUMCT_BMT_HAPLOID_ADULT'!$A$1:$E$30,MATCH($H136,'2026_BUMCT_BMT_HAPLOID_ADULT'!$A$1:$A$30),MATCH(I136,'2026_BUMCT_BMT_HAPLOID_ADULT'!$A$1:$D$1)),30)</f>
        <v xml:space="preserve">FOLLOW UP CARE - From day 31  </v>
      </c>
      <c r="O136" s="16">
        <v>32359</v>
      </c>
      <c r="P136" s="507">
        <f t="shared" si="27"/>
        <v>33411</v>
      </c>
    </row>
    <row r="137" spans="1:17">
      <c r="A137" s="1" t="e">
        <f ca="1">'2026_BUMCT_BMT_HAPLOID_ADULT'!$A$1</f>
        <v>#VALUE!</v>
      </c>
      <c r="B137" s="14" t="e">
        <f t="shared" ca="1" si="28"/>
        <v>#VALUE!</v>
      </c>
      <c r="C137" s="1" t="s">
        <v>357</v>
      </c>
      <c r="D137" s="4" t="e" cm="1">
        <f t="array" aca="1" ref="D137" ca="1">RIGHT(INDIRECT(ADDRESS(6,2,,,$A137)),6)</f>
        <v>#VALUE!</v>
      </c>
      <c r="E137" s="1" t="e" cm="1">
        <f t="array" aca="1" ref="E137" ca="1">RIGHT(INDIRECT(ADDRESS(4,2,,,$A137)),5)</f>
        <v>#VALUE!</v>
      </c>
      <c r="F137" s="22">
        <v>1.0335000000000001</v>
      </c>
      <c r="G137" s="22">
        <f t="shared" si="29"/>
        <v>1.0325</v>
      </c>
      <c r="H137" s="7">
        <v>7</v>
      </c>
      <c r="I137" s="7">
        <v>3</v>
      </c>
      <c r="J137" s="26">
        <v>4</v>
      </c>
      <c r="K137" s="26"/>
      <c r="L137" s="26" t="s">
        <v>350</v>
      </c>
      <c r="M137" s="26" t="s">
        <v>351</v>
      </c>
      <c r="N137" s="9" t="str">
        <f>LEFT(INDEX('2026_BUMCT_BMT_HAPLOID_ADULT'!$A$1:$E$30,MATCH($H137,'2026_BUMCT_BMT_HAPLOID_ADULT'!$A$1:$A$30),MATCH(I137,'2026_BUMCT_BMT_HAPLOID_ADULT'!$A$1:$D$1)),30)</f>
        <v xml:space="preserve">PER DIEM RATES for day 61+ of </v>
      </c>
      <c r="O137" s="16">
        <v>2474</v>
      </c>
      <c r="P137" s="507">
        <f t="shared" si="27"/>
        <v>2554</v>
      </c>
    </row>
    <row r="138" spans="1:17">
      <c r="A138" s="1" t="e">
        <f ca="1">'2026_BUMCT_BMT_HAPLOID_ADULT'!$A$1</f>
        <v>#VALUE!</v>
      </c>
      <c r="B138" s="14" t="e">
        <f t="shared" ca="1" si="28"/>
        <v>#VALUE!</v>
      </c>
      <c r="C138" s="1" t="s">
        <v>357</v>
      </c>
      <c r="D138" s="4" t="e" cm="1">
        <f t="array" aca="1" ref="D138" ca="1">RIGHT(INDIRECT(ADDRESS(6,2,,,$A138)),6)</f>
        <v>#VALUE!</v>
      </c>
      <c r="E138" s="1" t="e" cm="1">
        <f t="array" aca="1" ref="E138" ca="1">RIGHT(INDIRECT(ADDRESS(4,2,,,$A138)),5)</f>
        <v>#VALUE!</v>
      </c>
      <c r="F138" s="22">
        <v>1.0335000000000001</v>
      </c>
      <c r="G138" s="22">
        <f t="shared" si="29"/>
        <v>1.0325</v>
      </c>
      <c r="H138" s="7">
        <v>8</v>
      </c>
      <c r="I138" s="7">
        <v>3</v>
      </c>
      <c r="J138" s="26">
        <v>4</v>
      </c>
      <c r="K138" s="26"/>
      <c r="L138" s="26" t="s">
        <v>350</v>
      </c>
      <c r="M138" s="26" t="s">
        <v>351</v>
      </c>
      <c r="N138" s="9" t="str">
        <f>LEFT(INDEX('2026_BUMCT_BMT_HAPLOID_ADULT'!$A$1:$E$30,MATCH($H138,'2026_BUMCT_BMT_HAPLOID_ADULT'!$A$1:$A$30),MATCH(I138,'2026_BUMCT_BMT_HAPLOID_ADULT'!$A$1:$D$1)),30)</f>
        <v>Days 11+/61+ paid at the per d</v>
      </c>
      <c r="O138" s="16">
        <v>7263.18</v>
      </c>
      <c r="P138" s="509">
        <f>O138*$Q$2</f>
        <v>8014.1928120000002</v>
      </c>
      <c r="Q138" s="14" t="s">
        <v>352</v>
      </c>
    </row>
    <row r="139" spans="1:17">
      <c r="A139" s="1" t="e">
        <f ca="1">'2026_BUMCT_BMT_HAPLOID_ADULT'!$A$1</f>
        <v>#VALUE!</v>
      </c>
      <c r="B139" s="14" t="e">
        <f t="shared" ca="1" si="28"/>
        <v>#VALUE!</v>
      </c>
      <c r="C139" s="1" t="s">
        <v>357</v>
      </c>
      <c r="D139" s="4" t="e" cm="1">
        <f t="array" aca="1" ref="D139" ca="1">RIGHT(INDIRECT(ADDRESS(6,2,,,$A139)),6)</f>
        <v>#VALUE!</v>
      </c>
      <c r="E139" s="1" t="e" cm="1">
        <f t="array" aca="1" ref="E139" ca="1">RIGHT(INDIRECT(ADDRESS(4,2,,,$A139)),5)</f>
        <v>#VALUE!</v>
      </c>
      <c r="F139" s="22">
        <v>1.0335000000000001</v>
      </c>
      <c r="G139" s="22">
        <f t="shared" si="29"/>
        <v>1.0325</v>
      </c>
      <c r="H139" s="7">
        <v>9</v>
      </c>
      <c r="I139" s="7">
        <v>3</v>
      </c>
      <c r="J139" s="26">
        <v>4</v>
      </c>
      <c r="K139" s="26"/>
      <c r="L139" s="26" t="s">
        <v>350</v>
      </c>
      <c r="M139" s="26" t="s">
        <v>351</v>
      </c>
      <c r="N139" s="9" t="str">
        <f>LEFT(INDEX('2026_BUMCT_BMT_HAPLOID_ADULT'!$A$1:$E$30,MATCH($H139,'2026_BUMCT_BMT_HAPLOID_ADULT'!$A$1:$A$30),MATCH(I139,'2026_BUMCT_BMT_HAPLOID_ADULT'!$A$1:$D$1)),30)</f>
        <v>Outliers: Haploid Related case</v>
      </c>
      <c r="O139" s="16">
        <v>249440</v>
      </c>
      <c r="P139" s="507">
        <f t="shared" ref="P139" si="30">ROUND(O139*$G$2,0)</f>
        <v>257547</v>
      </c>
      <c r="Q139" s="14" t="s">
        <v>353</v>
      </c>
    </row>
    <row r="140" spans="1:17">
      <c r="A140" s="1" t="e">
        <f ca="1">'2026_BUMCT_BMT_HAPLOID_ADULT'!$A$1</f>
        <v>#VALUE!</v>
      </c>
      <c r="B140" s="14" t="e">
        <f t="shared" ca="1" si="28"/>
        <v>#VALUE!</v>
      </c>
      <c r="C140" s="1" t="s">
        <v>357</v>
      </c>
      <c r="D140" s="4" t="e" cm="1">
        <f t="array" aca="1" ref="D140" ca="1">RIGHT(INDIRECT(ADDRESS(6,2,,,$A140)),6)</f>
        <v>#VALUE!</v>
      </c>
      <c r="E140" s="1" t="e" cm="1">
        <f t="array" aca="1" ref="E140" ca="1">RIGHT(INDIRECT(ADDRESS(4,2,,,$A140)),5)</f>
        <v>#VALUE!</v>
      </c>
      <c r="F140" s="22">
        <v>1.0335000000000001</v>
      </c>
      <c r="G140" s="22">
        <f t="shared" si="29"/>
        <v>1.0325</v>
      </c>
      <c r="H140" s="7">
        <v>10</v>
      </c>
      <c r="I140" s="7">
        <v>3</v>
      </c>
      <c r="J140" s="26">
        <v>4</v>
      </c>
      <c r="K140" s="26"/>
      <c r="L140" s="26" t="s">
        <v>350</v>
      </c>
      <c r="M140" s="26" t="s">
        <v>351</v>
      </c>
      <c r="N140" s="9" t="str">
        <f>LEFT(INDEX('2026_BUMCT_BMT_HAPLOID_ADULT'!$A$1:$E$30,MATCH($H140,'2026_BUMCT_BMT_HAPLOID_ADULT'!$A$1:$A$30),MATCH(I140,'2026_BUMCT_BMT_HAPLOID_ADULT'!$A$1:$D$1)),30)</f>
        <v>Rate Above Threshold</v>
      </c>
      <c r="O140" s="16">
        <v>0.5</v>
      </c>
      <c r="P140" s="507">
        <f>O140</f>
        <v>0.5</v>
      </c>
      <c r="Q140" s="14" t="s">
        <v>354</v>
      </c>
    </row>
    <row r="141" spans="1:17">
      <c r="A141" s="1" t="e">
        <f ca="1">'2026_BUMCT_BMT_ALLO_UNREL_ADULT'!$A$1</f>
        <v>#VALUE!</v>
      </c>
      <c r="B141" s="14" t="e">
        <f t="shared" ca="1" si="28"/>
        <v>#VALUE!</v>
      </c>
      <c r="C141" s="1" t="s">
        <v>357</v>
      </c>
      <c r="D141" s="4" t="e" cm="1">
        <f t="array" aca="1" ref="D141" ca="1">RIGHT(INDIRECT(ADDRESS(6,2,,,$A141)),6)</f>
        <v>#VALUE!</v>
      </c>
      <c r="E141" s="1" t="e" cm="1">
        <f t="array" aca="1" ref="E141" ca="1">RIGHT(INDIRECT(ADDRESS(4,2,,,$A141)),5)</f>
        <v>#VALUE!</v>
      </c>
      <c r="F141" s="22">
        <v>1.0335000000000001</v>
      </c>
      <c r="G141" s="22">
        <f t="shared" si="29"/>
        <v>1.0325</v>
      </c>
      <c r="H141" s="7">
        <v>1</v>
      </c>
      <c r="I141" s="7">
        <v>3</v>
      </c>
      <c r="J141" s="26">
        <v>4</v>
      </c>
      <c r="K141" s="26"/>
      <c r="L141" s="26" t="s">
        <v>350</v>
      </c>
      <c r="M141" s="26" t="s">
        <v>351</v>
      </c>
      <c r="N141" s="9" t="str">
        <f>LEFT(INDEX('2026_BUMCT_BMT_ALLO_UNREL_ADULT'!$A$1:$E$30,MATCH($H141,'2026_BUMCT_BMT_ALLO_UNREL_ADULT'!$A$1:$A$30),MATCH(I141,'2026_BUMCT_BMT_ALLO_UNREL_ADULT'!$A$1:$D$1)),30)</f>
        <v>OUTPATIENT EVALUATION* - Initi</v>
      </c>
      <c r="O141" s="16">
        <v>6583</v>
      </c>
      <c r="P141" s="507">
        <f t="shared" ref="P141:P142" si="31">ROUND(O141*$G$2,0)</f>
        <v>6797</v>
      </c>
    </row>
    <row r="142" spans="1:17">
      <c r="A142" s="1" t="e">
        <f ca="1">'2026_BUMCT_BMT_ALLO_UNREL_ADULT'!$A$1</f>
        <v>#VALUE!</v>
      </c>
      <c r="B142" s="14" t="e">
        <f t="shared" ca="1" si="28"/>
        <v>#VALUE!</v>
      </c>
      <c r="C142" s="1" t="s">
        <v>357</v>
      </c>
      <c r="D142" s="4" t="e" cm="1">
        <f t="array" aca="1" ref="D142" ca="1">RIGHT(INDIRECT(ADDRESS(6,2,,,$A142)),6)</f>
        <v>#VALUE!</v>
      </c>
      <c r="E142" s="1" t="e" cm="1">
        <f t="array" aca="1" ref="E142" ca="1">RIGHT(INDIRECT(ADDRESS(4,2,,,$A142)),5)</f>
        <v>#VALUE!</v>
      </c>
      <c r="F142" s="22">
        <v>1.0335000000000001</v>
      </c>
      <c r="G142" s="22">
        <f t="shared" si="29"/>
        <v>1.0325</v>
      </c>
      <c r="H142" s="7">
        <v>2</v>
      </c>
      <c r="I142" s="7">
        <v>3</v>
      </c>
      <c r="J142" s="26">
        <v>4</v>
      </c>
      <c r="K142" s="26"/>
      <c r="L142" s="26" t="s">
        <v>350</v>
      </c>
      <c r="M142" s="26" t="s">
        <v>351</v>
      </c>
      <c r="N142" s="9" t="str">
        <f>LEFT(INDEX('2026_BUMCT_BMT_ALLO_UNREL_ADULT'!$A$1:$E$30,MATCH($H142,'2026_BUMCT_BMT_ALLO_UNREL_ADULT'!$A$1:$A$30),MATCH(I142,'2026_BUMCT_BMT_ALLO_UNREL_ADULT'!$A$1:$D$1)),30)</f>
        <v>UNRELATED DONOR SEARCH</v>
      </c>
      <c r="O142" s="16">
        <v>11622</v>
      </c>
      <c r="P142" s="507">
        <f t="shared" si="31"/>
        <v>12000</v>
      </c>
    </row>
    <row r="143" spans="1:17">
      <c r="A143" s="1" t="e">
        <f ca="1">'2026_BUMCT_BMT_ALLO_UNREL_ADULT'!$A$1</f>
        <v>#VALUE!</v>
      </c>
      <c r="B143" s="14" t="e">
        <f t="shared" ca="1" si="28"/>
        <v>#VALUE!</v>
      </c>
      <c r="C143" s="1" t="s">
        <v>357</v>
      </c>
      <c r="D143" s="4" t="e" cm="1">
        <f t="array" aca="1" ref="D143" ca="1">RIGHT(INDIRECT(ADDRESS(6,2,,,$A143)),6)</f>
        <v>#VALUE!</v>
      </c>
      <c r="E143" s="1" t="e" cm="1">
        <f t="array" aca="1" ref="E143" ca="1">RIGHT(INDIRECT(ADDRESS(4,2,,,$A143)),5)</f>
        <v>#VALUE!</v>
      </c>
      <c r="F143" s="22">
        <v>1.0335000000000001</v>
      </c>
      <c r="G143" s="22">
        <f t="shared" si="29"/>
        <v>1.0325</v>
      </c>
      <c r="H143" s="7">
        <v>3</v>
      </c>
      <c r="I143" s="7">
        <v>3</v>
      </c>
      <c r="J143" s="26">
        <v>4</v>
      </c>
      <c r="K143" s="26"/>
      <c r="L143" s="26" t="s">
        <v>350</v>
      </c>
      <c r="M143" s="26" t="s">
        <v>351</v>
      </c>
      <c r="N143" s="9" t="str">
        <f>LEFT(INDEX('2026_BUMCT_BMT_ALLO_UNREL_ADULT'!$A$1:$E$30,MATCH($H143,'2026_BUMCT_BMT_ALLO_UNREL_ADULT'!$A$1:$A$30),MATCH(I143,'2026_BUMCT_BMT_ALLO_UNREL_ADULT'!$A$1:$D$1)),30)</f>
        <v>DONOR HARVEST (includes stem c</v>
      </c>
      <c r="O143" s="16" t="s">
        <v>355</v>
      </c>
      <c r="P143" s="507" t="str">
        <f>O143</f>
        <v>NBMD or Cord blood Invoice Cost</v>
      </c>
      <c r="Q143" s="14" t="s">
        <v>354</v>
      </c>
    </row>
    <row r="144" spans="1:17">
      <c r="A144" s="1" t="e">
        <f ca="1">'2026_BUMCT_BMT_ALLO_UNREL_ADULT'!$A$1</f>
        <v>#VALUE!</v>
      </c>
      <c r="B144" s="14" t="e">
        <f t="shared" ca="1" si="28"/>
        <v>#VALUE!</v>
      </c>
      <c r="C144" s="1" t="s">
        <v>357</v>
      </c>
      <c r="D144" s="4" t="e" cm="1">
        <f t="array" aca="1" ref="D144" ca="1">RIGHT(INDIRECT(ADDRESS(6,2,,,$A144)),6)</f>
        <v>#VALUE!</v>
      </c>
      <c r="E144" s="1" t="e" cm="1">
        <f t="array" aca="1" ref="E144" ca="1">RIGHT(INDIRECT(ADDRESS(4,2,,,$A144)),5)</f>
        <v>#VALUE!</v>
      </c>
      <c r="F144" s="22">
        <v>1.0335000000000001</v>
      </c>
      <c r="G144" s="22">
        <f t="shared" si="29"/>
        <v>1.0325</v>
      </c>
      <c r="H144" s="7">
        <v>4</v>
      </c>
      <c r="I144" s="7">
        <v>3</v>
      </c>
      <c r="J144" s="26">
        <v>4</v>
      </c>
      <c r="K144" s="26"/>
      <c r="L144" s="26" t="s">
        <v>350</v>
      </c>
      <c r="M144" s="26" t="s">
        <v>351</v>
      </c>
      <c r="N144" s="9" t="str">
        <f>LEFT(INDEX('2026_BUMCT_BMT_ALLO_UNREL_ADULT'!$A$1:$E$30,MATCH($H144,'2026_BUMCT_BMT_ALLO_UNREL_ADULT'!$A$1:$A$30),MATCH(I144,'2026_BUMCT_BMT_ALLO_UNREL_ADULT'!$A$1:$D$1)),30)</f>
        <v>PREP AND TRANSPLANT</v>
      </c>
      <c r="O144" s="16">
        <v>63311</v>
      </c>
      <c r="P144" s="507">
        <f t="shared" ref="P144:P147" si="32">ROUND(O144*$G$2,0)</f>
        <v>65369</v>
      </c>
    </row>
    <row r="145" spans="1:17">
      <c r="A145" s="1" t="e">
        <f ca="1">'2026_BUMCT_BMT_ALLO_UNREL_ADULT'!$A$1</f>
        <v>#VALUE!</v>
      </c>
      <c r="B145" s="14" t="e">
        <f t="shared" ca="1" si="28"/>
        <v>#VALUE!</v>
      </c>
      <c r="C145" s="1" t="s">
        <v>357</v>
      </c>
      <c r="D145" s="4" t="e" cm="1">
        <f t="array" aca="1" ref="D145" ca="1">RIGHT(INDIRECT(ADDRESS(6,2,,,$A145)),6)</f>
        <v>#VALUE!</v>
      </c>
      <c r="E145" s="1" t="e" cm="1">
        <f t="array" aca="1" ref="E145" ca="1">RIGHT(INDIRECT(ADDRESS(4,2,,,$A145)),5)</f>
        <v>#VALUE!</v>
      </c>
      <c r="F145" s="22">
        <v>1.0335000000000001</v>
      </c>
      <c r="G145" s="22">
        <f t="shared" si="29"/>
        <v>1.0325</v>
      </c>
      <c r="H145" s="7">
        <v>5</v>
      </c>
      <c r="I145" s="7">
        <v>3</v>
      </c>
      <c r="J145" s="26">
        <v>4</v>
      </c>
      <c r="K145" s="26"/>
      <c r="L145" s="26" t="s">
        <v>350</v>
      </c>
      <c r="M145" s="26" t="s">
        <v>351</v>
      </c>
      <c r="N145" s="9" t="str">
        <f>LEFT(INDEX('2026_BUMCT_BMT_ALLO_UNREL_ADULT'!$A$1:$E$30,MATCH($H145,'2026_BUMCT_BMT_ALLO_UNREL_ADULT'!$A$1:$A$30),MATCH(I145,'2026_BUMCT_BMT_ALLO_UNREL_ADULT'!$A$1:$D$1)),30)</f>
        <v>FOLLOW UP CARE - From day 1 po</v>
      </c>
      <c r="O145" s="16">
        <v>100006</v>
      </c>
      <c r="P145" s="507">
        <f t="shared" si="32"/>
        <v>103256</v>
      </c>
    </row>
    <row r="146" spans="1:17">
      <c r="A146" s="1" t="e">
        <f ca="1">'2026_BUMCT_BMT_ALLO_UNREL_ADULT'!$A$1</f>
        <v>#VALUE!</v>
      </c>
      <c r="B146" s="14" t="e">
        <f t="shared" ca="1" si="28"/>
        <v>#VALUE!</v>
      </c>
      <c r="C146" s="1" t="s">
        <v>357</v>
      </c>
      <c r="D146" s="4" t="e" cm="1">
        <f t="array" aca="1" ref="D146" ca="1">RIGHT(INDIRECT(ADDRESS(6,2,,,$A146)),6)</f>
        <v>#VALUE!</v>
      </c>
      <c r="E146" s="1" t="e" cm="1">
        <f t="array" aca="1" ref="E146" ca="1">RIGHT(INDIRECT(ADDRESS(4,2,,,$A146)),5)</f>
        <v>#VALUE!</v>
      </c>
      <c r="F146" s="22">
        <v>1.0335000000000001</v>
      </c>
      <c r="G146" s="22">
        <f t="shared" si="29"/>
        <v>1.0325</v>
      </c>
      <c r="H146" s="7">
        <v>6</v>
      </c>
      <c r="I146" s="7">
        <v>3</v>
      </c>
      <c r="J146" s="26">
        <v>4</v>
      </c>
      <c r="K146" s="26"/>
      <c r="L146" s="26" t="s">
        <v>350</v>
      </c>
      <c r="M146" s="26" t="s">
        <v>351</v>
      </c>
      <c r="N146" s="9" t="str">
        <f>LEFT(INDEX('2026_BUMCT_BMT_ALLO_UNREL_ADULT'!$A$1:$E$30,MATCH($H146,'2026_BUMCT_BMT_ALLO_UNREL_ADULT'!$A$1:$A$30),MATCH(I146,'2026_BUMCT_BMT_ALLO_UNREL_ADULT'!$A$1:$D$1)),30)</f>
        <v xml:space="preserve">FOLLOW UP CARE - From day 31  </v>
      </c>
      <c r="O146" s="16">
        <v>33071</v>
      </c>
      <c r="P146" s="507">
        <f t="shared" si="32"/>
        <v>34146</v>
      </c>
    </row>
    <row r="147" spans="1:17">
      <c r="A147" s="1" t="e">
        <f ca="1">'2026_BUMCT_BMT_ALLO_UNREL_ADULT'!$A$1</f>
        <v>#VALUE!</v>
      </c>
      <c r="B147" s="14" t="e">
        <f t="shared" ca="1" si="28"/>
        <v>#VALUE!</v>
      </c>
      <c r="C147" s="1" t="s">
        <v>357</v>
      </c>
      <c r="D147" s="4" t="e" cm="1">
        <f t="array" aca="1" ref="D147" ca="1">RIGHT(INDIRECT(ADDRESS(6,2,,,$A147)),6)</f>
        <v>#VALUE!</v>
      </c>
      <c r="E147" s="1" t="e" cm="1">
        <f t="array" aca="1" ref="E147" ca="1">RIGHT(INDIRECT(ADDRESS(4,2,,,$A147)),5)</f>
        <v>#VALUE!</v>
      </c>
      <c r="F147" s="22">
        <v>1.0335000000000001</v>
      </c>
      <c r="G147" s="22">
        <f t="shared" si="29"/>
        <v>1.0325</v>
      </c>
      <c r="H147" s="7">
        <v>7</v>
      </c>
      <c r="I147" s="7">
        <v>3</v>
      </c>
      <c r="J147" s="26">
        <v>4</v>
      </c>
      <c r="K147" s="26"/>
      <c r="L147" s="26" t="s">
        <v>350</v>
      </c>
      <c r="M147" s="26" t="s">
        <v>351</v>
      </c>
      <c r="N147" s="9" t="str">
        <f>LEFT(INDEX('2026_BUMCT_BMT_ALLO_UNREL_ADULT'!$A$1:$E$30,MATCH($H147,'2026_BUMCT_BMT_ALLO_UNREL_ADULT'!$A$1:$A$30),MATCH(I147,'2026_BUMCT_BMT_ALLO_UNREL_ADULT'!$A$1:$D$1)),30)</f>
        <v xml:space="preserve">PER DIEM RATES for day 61+ of </v>
      </c>
      <c r="O147" s="16">
        <v>2474</v>
      </c>
      <c r="P147" s="507">
        <f t="shared" si="32"/>
        <v>2554</v>
      </c>
    </row>
    <row r="148" spans="1:17">
      <c r="A148" s="1" t="e">
        <f ca="1">'2026_BUMCT_BMT_ALLO_UNREL_ADULT'!$A$1</f>
        <v>#VALUE!</v>
      </c>
      <c r="B148" s="14" t="e">
        <f t="shared" ca="1" si="28"/>
        <v>#VALUE!</v>
      </c>
      <c r="C148" s="1" t="s">
        <v>357</v>
      </c>
      <c r="D148" s="4" t="e" cm="1">
        <f t="array" aca="1" ref="D148" ca="1">RIGHT(INDIRECT(ADDRESS(6,2,,,$A148)),6)</f>
        <v>#VALUE!</v>
      </c>
      <c r="E148" s="1" t="e" cm="1">
        <f t="array" aca="1" ref="E148" ca="1">RIGHT(INDIRECT(ADDRESS(4,2,,,$A148)),5)</f>
        <v>#VALUE!</v>
      </c>
      <c r="F148" s="22">
        <v>1.0335000000000001</v>
      </c>
      <c r="G148" s="22">
        <f t="shared" si="29"/>
        <v>1.0325</v>
      </c>
      <c r="H148" s="7">
        <v>8</v>
      </c>
      <c r="I148" s="7">
        <v>3</v>
      </c>
      <c r="J148" s="26">
        <v>4</v>
      </c>
      <c r="K148" s="26"/>
      <c r="L148" s="26" t="s">
        <v>350</v>
      </c>
      <c r="M148" s="26" t="s">
        <v>351</v>
      </c>
      <c r="N148" s="9" t="str">
        <f>LEFT(INDEX('2026_BUMCT_BMT_ALLO_UNREL_ADULT'!$A$1:$E$30,MATCH($H148,'2026_BUMCT_BMT_ALLO_UNREL_ADULT'!$A$1:$A$30),MATCH(I148,'2026_BUMCT_BMT_ALLO_UNREL_ADULT'!$A$1:$D$1)),30)</f>
        <v>Days 11+/61+ paid at the per d</v>
      </c>
      <c r="O148" s="16">
        <v>7263.18</v>
      </c>
      <c r="P148" s="509">
        <f>O148*$Q$2</f>
        <v>8014.1928120000002</v>
      </c>
      <c r="Q148" s="14" t="s">
        <v>352</v>
      </c>
    </row>
    <row r="149" spans="1:17">
      <c r="A149" s="1" t="e">
        <f ca="1">'2026_BUMCT_BMT_ALLO_UNREL_ADULT'!$A$1</f>
        <v>#VALUE!</v>
      </c>
      <c r="B149" s="14" t="e">
        <f t="shared" ca="1" si="28"/>
        <v>#VALUE!</v>
      </c>
      <c r="C149" s="1" t="s">
        <v>357</v>
      </c>
      <c r="D149" s="4" t="e" cm="1">
        <f t="array" aca="1" ref="D149" ca="1">RIGHT(INDIRECT(ADDRESS(6,2,,,$A149)),6)</f>
        <v>#VALUE!</v>
      </c>
      <c r="E149" s="1" t="e" cm="1">
        <f t="array" aca="1" ref="E149" ca="1">RIGHT(INDIRECT(ADDRESS(4,2,,,$A149)),5)</f>
        <v>#VALUE!</v>
      </c>
      <c r="F149" s="22">
        <v>1.0335000000000001</v>
      </c>
      <c r="G149" s="22">
        <f t="shared" si="29"/>
        <v>1.0325</v>
      </c>
      <c r="H149" s="7">
        <v>9</v>
      </c>
      <c r="I149" s="7">
        <v>3</v>
      </c>
      <c r="J149" s="26">
        <v>4</v>
      </c>
      <c r="K149" s="26"/>
      <c r="L149" s="26" t="s">
        <v>350</v>
      </c>
      <c r="M149" s="26" t="s">
        <v>351</v>
      </c>
      <c r="N149" s="9" t="str">
        <f>LEFT(INDEX('2026_BUMCT_BMT_ALLO_UNREL_ADULT'!$A$1:$E$30,MATCH($H149,'2026_BUMCT_BMT_ALLO_UNREL_ADULT'!$A$1:$A$30),MATCH(I149,'2026_BUMCT_BMT_ALLO_UNREL_ADULT'!$A$1:$D$1)),30)</f>
        <v>Outliers: Matched unrelated al</v>
      </c>
      <c r="O149" s="16">
        <v>273197</v>
      </c>
      <c r="P149" s="507">
        <f t="shared" ref="P149" si="33">ROUND(O149*$G$2,0)</f>
        <v>282076</v>
      </c>
      <c r="Q149" s="14" t="s">
        <v>353</v>
      </c>
    </row>
    <row r="150" spans="1:17">
      <c r="A150" s="1" t="e">
        <f ca="1">'2026_BUMCT_BMT_ALLO_UNREL_ADULT'!$A$1</f>
        <v>#VALUE!</v>
      </c>
      <c r="B150" s="14" t="e">
        <f t="shared" ca="1" si="28"/>
        <v>#VALUE!</v>
      </c>
      <c r="C150" s="1" t="s">
        <v>357</v>
      </c>
      <c r="D150" s="4" t="e" cm="1">
        <f t="array" aca="1" ref="D150" ca="1">RIGHT(INDIRECT(ADDRESS(6,2,,,$A150)),6)</f>
        <v>#VALUE!</v>
      </c>
      <c r="E150" s="1" t="e" cm="1">
        <f t="array" aca="1" ref="E150" ca="1">RIGHT(INDIRECT(ADDRESS(4,2,,,$A150)),5)</f>
        <v>#VALUE!</v>
      </c>
      <c r="F150" s="22">
        <v>1.0335000000000001</v>
      </c>
      <c r="G150" s="22">
        <f t="shared" si="29"/>
        <v>1.0325</v>
      </c>
      <c r="H150" s="7">
        <v>10</v>
      </c>
      <c r="I150" s="7">
        <v>3</v>
      </c>
      <c r="J150" s="26">
        <v>4</v>
      </c>
      <c r="K150" s="26"/>
      <c r="L150" s="26" t="s">
        <v>350</v>
      </c>
      <c r="M150" s="26" t="s">
        <v>351</v>
      </c>
      <c r="N150" s="9" t="str">
        <f>LEFT(INDEX('2026_BUMCT_BMT_ALLO_UNREL_ADULT'!$A$1:$E$30,MATCH($H150,'2026_BUMCT_BMT_ALLO_UNREL_ADULT'!$A$1:$A$30),MATCH(I150,'2026_BUMCT_BMT_ALLO_UNREL_ADULT'!$A$1:$D$1)),30)</f>
        <v>Rate Above Threshold</v>
      </c>
      <c r="O150" s="16">
        <v>0.5</v>
      </c>
      <c r="P150" s="507">
        <f>O150</f>
        <v>0.5</v>
      </c>
      <c r="Q150" s="14" t="s">
        <v>354</v>
      </c>
    </row>
    <row r="151" spans="1:17">
      <c r="A151" s="1" t="e">
        <f ca="1">'2026_BUMCT_TBI'!$A$1</f>
        <v>#VALUE!</v>
      </c>
      <c r="B151" s="14" t="e">
        <f t="shared" ca="1" si="28"/>
        <v>#VALUE!</v>
      </c>
      <c r="C151" s="1" t="s">
        <v>357</v>
      </c>
      <c r="D151" s="4" t="e" cm="1">
        <f t="array" aca="1" ref="D151" ca="1">RIGHT(INDIRECT(ADDRESS(6,2,,,$A151)),6)</f>
        <v>#VALUE!</v>
      </c>
      <c r="E151" s="1" t="e" cm="1">
        <f t="array" aca="1" ref="E151" ca="1">RIGHT(INDIRECT(ADDRESS(4,2,,,$A151)),5)</f>
        <v>#VALUE!</v>
      </c>
      <c r="F151" s="22">
        <v>1.0335000000000001</v>
      </c>
      <c r="G151" s="22">
        <f t="shared" si="29"/>
        <v>1.0325</v>
      </c>
      <c r="H151" s="7">
        <v>1</v>
      </c>
      <c r="I151" s="7">
        <v>3</v>
      </c>
      <c r="J151" s="26">
        <v>4</v>
      </c>
      <c r="K151" s="26"/>
      <c r="L151" s="26" t="s">
        <v>350</v>
      </c>
      <c r="M151" s="26" t="s">
        <v>351</v>
      </c>
      <c r="N151" s="9" t="str">
        <f>LEFT(INDEX('2026_BUMCT_TBI'!$A$1:$E$30,MATCH($H151,'2026_BUMCT_TBI'!$A$1:$A$30),MATCH(I151,'2026_BUMCT_TBI'!$A$1:$D$1)),30)</f>
        <v xml:space="preserve">TOTAL BODY IRRADIATION (TBI)  </v>
      </c>
      <c r="O151" s="16">
        <v>7818</v>
      </c>
      <c r="P151" s="507">
        <f t="shared" ref="P151:P155" si="34">ROUND(O151*$G$2,0)</f>
        <v>8072</v>
      </c>
    </row>
    <row r="152" spans="1:17">
      <c r="A152" s="1" t="e">
        <f ca="1">'2026_BUMCT_KIDNEY_LIVING'!$A$1</f>
        <v>#VALUE!</v>
      </c>
      <c r="B152" s="14" t="e">
        <f t="shared" ca="1" si="28"/>
        <v>#VALUE!</v>
      </c>
      <c r="C152" s="1" t="s">
        <v>357</v>
      </c>
      <c r="D152" s="4" t="e" cm="1">
        <f t="array" aca="1" ref="D152" ca="1">RIGHT(INDIRECT(ADDRESS(6,2,,,$A152)),6)</f>
        <v>#VALUE!</v>
      </c>
      <c r="E152" s="1" t="e" cm="1">
        <f t="array" aca="1" ref="E152" ca="1">RIGHT(INDIRECT(ADDRESS(4,2,,,$A152)),5)</f>
        <v>#VALUE!</v>
      </c>
      <c r="F152" s="22">
        <v>1.0335000000000001</v>
      </c>
      <c r="G152" s="22">
        <f t="shared" si="29"/>
        <v>1.0325</v>
      </c>
      <c r="H152" s="7">
        <v>1</v>
      </c>
      <c r="I152" s="7">
        <v>3</v>
      </c>
      <c r="J152" s="26">
        <v>4</v>
      </c>
      <c r="K152" s="26"/>
      <c r="L152" s="26" t="s">
        <v>350</v>
      </c>
      <c r="M152" s="26" t="s">
        <v>351</v>
      </c>
      <c r="N152" s="9" t="str">
        <f>LEFT(INDEX('2026_BUMCT_KIDNEY_LIVING'!$A$1:$E$30,MATCH($H152,'2026_BUMCT_KIDNEY_LIVING'!$A$1:$A$30),MATCH(I152,'2026_BUMCT_KIDNEY_LIVING'!$A$1:$D$1)),30)</f>
        <v>OUTPATIENT EVALUATION* - Initi</v>
      </c>
      <c r="O152" s="16">
        <v>5160</v>
      </c>
      <c r="P152" s="507">
        <f t="shared" si="34"/>
        <v>5328</v>
      </c>
    </row>
    <row r="153" spans="1:17">
      <c r="A153" s="1" t="e">
        <f ca="1">'2026_BUMCT_KIDNEY_LIVING'!$A$1</f>
        <v>#VALUE!</v>
      </c>
      <c r="B153" s="14" t="e">
        <f t="shared" ca="1" si="28"/>
        <v>#VALUE!</v>
      </c>
      <c r="C153" s="1" t="s">
        <v>357</v>
      </c>
      <c r="D153" s="4" t="e" cm="1">
        <f t="array" aca="1" ref="D153" ca="1">RIGHT(INDIRECT(ADDRESS(6,2,,,$A153)),6)</f>
        <v>#VALUE!</v>
      </c>
      <c r="E153" s="1" t="e" cm="1">
        <f t="array" aca="1" ref="E153" ca="1">RIGHT(INDIRECT(ADDRESS(4,2,,,$A153)),5)</f>
        <v>#VALUE!</v>
      </c>
      <c r="F153" s="22">
        <v>1.0335000000000001</v>
      </c>
      <c r="G153" s="22">
        <f t="shared" si="29"/>
        <v>1.0325</v>
      </c>
      <c r="H153" s="7">
        <v>2</v>
      </c>
      <c r="I153" s="7">
        <v>3</v>
      </c>
      <c r="J153" s="26">
        <v>4</v>
      </c>
      <c r="K153" s="26"/>
      <c r="L153" s="26" t="s">
        <v>350</v>
      </c>
      <c r="M153" s="26" t="s">
        <v>351</v>
      </c>
      <c r="N153" s="9" t="str">
        <f>LEFT(INDEX('2026_BUMCT_KIDNEY_LIVING'!$A$1:$E$30,MATCH($H153,'2026_BUMCT_KIDNEY_LIVING'!$A$1:$A$30),MATCH(I153,'2026_BUMCT_KIDNEY_LIVING'!$A$1:$D$1)),30)</f>
        <v xml:space="preserve">PREP AND TRANSPLANT UP TO AND </v>
      </c>
      <c r="O153" s="16">
        <v>97126</v>
      </c>
      <c r="P153" s="507">
        <f t="shared" si="34"/>
        <v>100283</v>
      </c>
    </row>
    <row r="154" spans="1:17">
      <c r="A154" s="1" t="e">
        <f ca="1">'2026_BUMCT_KIDNEY_LIVING'!$A$1</f>
        <v>#VALUE!</v>
      </c>
      <c r="B154" s="14" t="e">
        <f t="shared" ca="1" si="28"/>
        <v>#VALUE!</v>
      </c>
      <c r="C154" s="1" t="s">
        <v>357</v>
      </c>
      <c r="D154" s="4" t="e" cm="1">
        <f t="array" aca="1" ref="D154" ca="1">RIGHT(INDIRECT(ADDRESS(6,2,,,$A154)),6)</f>
        <v>#VALUE!</v>
      </c>
      <c r="E154" s="1" t="e" cm="1">
        <f t="array" aca="1" ref="E154" ca="1">RIGHT(INDIRECT(ADDRESS(4,2,,,$A154)),5)</f>
        <v>#VALUE!</v>
      </c>
      <c r="F154" s="22">
        <v>1.0335000000000001</v>
      </c>
      <c r="G154" s="22">
        <f t="shared" si="29"/>
        <v>1.0325</v>
      </c>
      <c r="H154" s="7">
        <v>3</v>
      </c>
      <c r="I154" s="7">
        <v>3</v>
      </c>
      <c r="J154" s="26">
        <v>4</v>
      </c>
      <c r="K154" s="26"/>
      <c r="L154" s="26" t="s">
        <v>350</v>
      </c>
      <c r="M154" s="26" t="s">
        <v>351</v>
      </c>
      <c r="N154" s="9" t="str">
        <f>LEFT(INDEX('2026_BUMCT_KIDNEY_LIVING'!$A$1:$E$30,MATCH($H154,'2026_BUMCT_KIDNEY_LIVING'!$A$1:$A$30),MATCH(I154,'2026_BUMCT_KIDNEY_LIVING'!$A$1:$D$1)),30)</f>
        <v>LIVING DONOR SURGERY AND INPAT</v>
      </c>
      <c r="O154" s="16">
        <v>19378</v>
      </c>
      <c r="P154" s="507">
        <f t="shared" si="34"/>
        <v>20008</v>
      </c>
    </row>
    <row r="155" spans="1:17">
      <c r="A155" s="1" t="e">
        <f ca="1">'2026_BUMCT_KIDNEY_LIVING'!$A$1</f>
        <v>#VALUE!</v>
      </c>
      <c r="B155" s="14" t="e">
        <f t="shared" ca="1" si="28"/>
        <v>#VALUE!</v>
      </c>
      <c r="C155" s="1" t="s">
        <v>357</v>
      </c>
      <c r="D155" s="4" t="e" cm="1">
        <f t="array" aca="1" ref="D155" ca="1">RIGHT(INDIRECT(ADDRESS(6,2,,,$A155)),6)</f>
        <v>#VALUE!</v>
      </c>
      <c r="E155" s="1" t="e" cm="1">
        <f t="array" aca="1" ref="E155" ca="1">RIGHT(INDIRECT(ADDRESS(4,2,,,$A155)),5)</f>
        <v>#VALUE!</v>
      </c>
      <c r="F155" s="22">
        <v>1.0335000000000001</v>
      </c>
      <c r="G155" s="22">
        <f t="shared" si="29"/>
        <v>1.0325</v>
      </c>
      <c r="H155" s="7">
        <v>4</v>
      </c>
      <c r="I155" s="7">
        <v>3</v>
      </c>
      <c r="J155" s="26">
        <v>4</v>
      </c>
      <c r="K155" s="26"/>
      <c r="L155" s="26" t="s">
        <v>350</v>
      </c>
      <c r="M155" s="26" t="s">
        <v>351</v>
      </c>
      <c r="N155" s="9" t="str">
        <f>LEFT(INDEX('2026_BUMCT_KIDNEY_LIVING'!$A$1:$E$30,MATCH($H155,'2026_BUMCT_KIDNEY_LIVING'!$A$1:$A$30),MATCH(I155,'2026_BUMCT_KIDNEY_LIVING'!$A$1:$D$1)),30)</f>
        <v xml:space="preserve">PER DIEM RATES for day 61+ of </v>
      </c>
      <c r="O155" s="16">
        <v>2474</v>
      </c>
      <c r="P155" s="507">
        <f t="shared" si="34"/>
        <v>2554</v>
      </c>
    </row>
    <row r="156" spans="1:17">
      <c r="A156" s="1" t="e">
        <f ca="1">'2026_BUMCT_KIDNEY_LIVING'!$A$1</f>
        <v>#VALUE!</v>
      </c>
      <c r="B156" s="14" t="e">
        <f t="shared" ca="1" si="28"/>
        <v>#VALUE!</v>
      </c>
      <c r="C156" s="1" t="s">
        <v>357</v>
      </c>
      <c r="D156" s="4" t="e" cm="1">
        <f t="array" aca="1" ref="D156" ca="1">RIGHT(INDIRECT(ADDRESS(6,2,,,$A156)),6)</f>
        <v>#VALUE!</v>
      </c>
      <c r="E156" s="1" t="e" cm="1">
        <f t="array" aca="1" ref="E156" ca="1">RIGHT(INDIRECT(ADDRESS(4,2,,,$A156)),5)</f>
        <v>#VALUE!</v>
      </c>
      <c r="F156" s="22">
        <v>1.0335000000000001</v>
      </c>
      <c r="G156" s="22">
        <f t="shared" si="29"/>
        <v>1.0325</v>
      </c>
      <c r="H156" s="7">
        <v>5</v>
      </c>
      <c r="I156" s="7">
        <v>3</v>
      </c>
      <c r="J156" s="26">
        <v>4</v>
      </c>
      <c r="K156" s="26"/>
      <c r="L156" s="26" t="s">
        <v>350</v>
      </c>
      <c r="M156" s="26" t="s">
        <v>351</v>
      </c>
      <c r="N156" s="9" t="str">
        <f>LEFT(INDEX('2026_BUMCT_KIDNEY_LIVING'!$A$1:$E$30,MATCH($H156,'2026_BUMCT_KIDNEY_LIVING'!$A$1:$A$30),MATCH(I156,'2026_BUMCT_KIDNEY_LIVING'!$A$1:$D$1)),30)</f>
        <v>Days 11+/61+ paid at the per d</v>
      </c>
      <c r="O156" s="16">
        <v>7263.18</v>
      </c>
      <c r="P156" s="509">
        <f>O156*$Q$2</f>
        <v>8014.1928120000002</v>
      </c>
      <c r="Q156" s="14" t="s">
        <v>352</v>
      </c>
    </row>
    <row r="157" spans="1:17">
      <c r="A157" s="1" t="e">
        <f ca="1">'2026_BUMCT_KIDNEY_CADAVERIC'!$A$1</f>
        <v>#VALUE!</v>
      </c>
      <c r="B157" s="14" t="e">
        <f t="shared" ca="1" si="28"/>
        <v>#VALUE!</v>
      </c>
      <c r="C157" s="1" t="s">
        <v>357</v>
      </c>
      <c r="D157" s="4" t="e" cm="1">
        <f t="array" aca="1" ref="D157" ca="1">RIGHT(INDIRECT(ADDRESS(6,2,,,$A157)),6)</f>
        <v>#VALUE!</v>
      </c>
      <c r="E157" s="1" t="e" cm="1">
        <f t="array" aca="1" ref="E157" ca="1">RIGHT(INDIRECT(ADDRESS(4,2,,,$A157)),5)</f>
        <v>#VALUE!</v>
      </c>
      <c r="F157" s="22">
        <v>1.0335000000000001</v>
      </c>
      <c r="G157" s="22">
        <f t="shared" si="29"/>
        <v>1.0325</v>
      </c>
      <c r="H157" s="7">
        <v>1</v>
      </c>
      <c r="I157" s="7">
        <v>3</v>
      </c>
      <c r="J157" s="26">
        <v>4</v>
      </c>
      <c r="K157" s="26"/>
      <c r="L157" s="26" t="s">
        <v>350</v>
      </c>
      <c r="M157" s="26" t="s">
        <v>351</v>
      </c>
      <c r="N157" s="9" t="str">
        <f>LEFT(INDEX('2026_BUMCT_KIDNEY_CADAVERIC'!$A$1:$E$30,MATCH($H157,'2026_BUMCT_KIDNEY_CADAVERIC'!$A$1:$A$30),MATCH(I157,'2026_BUMCT_KIDNEY_CADAVERIC'!$A$1:$D$1)),30)</f>
        <v>OUTPATIENT EVALUATION* - Initi</v>
      </c>
      <c r="O157" s="16">
        <v>5160</v>
      </c>
      <c r="P157" s="507">
        <f t="shared" ref="P157:P159" si="35">ROUND(O157*$G$2,0)</f>
        <v>5328</v>
      </c>
    </row>
    <row r="158" spans="1:17">
      <c r="A158" s="1" t="e">
        <f ca="1">'2026_BUMCT_KIDNEY_CADAVERIC'!$A$1</f>
        <v>#VALUE!</v>
      </c>
      <c r="B158" s="14" t="e">
        <f t="shared" ca="1" si="28"/>
        <v>#VALUE!</v>
      </c>
      <c r="C158" s="1" t="s">
        <v>357</v>
      </c>
      <c r="D158" s="4" t="e" cm="1">
        <f t="array" aca="1" ref="D158" ca="1">RIGHT(INDIRECT(ADDRESS(6,2,,,$A158)),6)</f>
        <v>#VALUE!</v>
      </c>
      <c r="E158" s="1" t="e" cm="1">
        <f t="array" aca="1" ref="E158" ca="1">RIGHT(INDIRECT(ADDRESS(4,2,,,$A158)),5)</f>
        <v>#VALUE!</v>
      </c>
      <c r="F158" s="22">
        <v>1.0335000000000001</v>
      </c>
      <c r="G158" s="22">
        <f t="shared" si="29"/>
        <v>1.0325</v>
      </c>
      <c r="H158" s="7">
        <v>2</v>
      </c>
      <c r="I158" s="7">
        <v>3</v>
      </c>
      <c r="J158" s="26">
        <v>4</v>
      </c>
      <c r="K158" s="26"/>
      <c r="L158" s="26" t="s">
        <v>350</v>
      </c>
      <c r="M158" s="26" t="s">
        <v>351</v>
      </c>
      <c r="N158" s="9" t="str">
        <f>LEFT(INDEX('2026_BUMCT_KIDNEY_CADAVERIC'!$A$1:$E$30,MATCH($H158,'2026_BUMCT_KIDNEY_CADAVERIC'!$A$1:$A$30),MATCH(I158,'2026_BUMCT_KIDNEY_CADAVERIC'!$A$1:$D$1)),30)</f>
        <v>PREP &amp; TRANSPLANT UP TO AND IN</v>
      </c>
      <c r="O158" s="16">
        <v>97126</v>
      </c>
      <c r="P158" s="507">
        <f t="shared" si="35"/>
        <v>100283</v>
      </c>
    </row>
    <row r="159" spans="1:17">
      <c r="A159" s="1" t="e">
        <f ca="1">'2026_BUMCT_KIDNEY_CADAVERIC'!$A$1</f>
        <v>#VALUE!</v>
      </c>
      <c r="B159" s="14" t="e">
        <f t="shared" ca="1" si="28"/>
        <v>#VALUE!</v>
      </c>
      <c r="C159" s="1" t="s">
        <v>357</v>
      </c>
      <c r="D159" s="4" t="e" cm="1">
        <f t="array" aca="1" ref="D159" ca="1">RIGHT(INDIRECT(ADDRESS(6,2,,,$A159)),6)</f>
        <v>#VALUE!</v>
      </c>
      <c r="E159" s="1" t="e" cm="1">
        <f t="array" aca="1" ref="E159" ca="1">RIGHT(INDIRECT(ADDRESS(4,2,,,$A159)),5)</f>
        <v>#VALUE!</v>
      </c>
      <c r="F159" s="22">
        <v>1.0335000000000001</v>
      </c>
      <c r="G159" s="22">
        <f t="shared" si="29"/>
        <v>1.0325</v>
      </c>
      <c r="H159" s="7">
        <v>3</v>
      </c>
      <c r="I159" s="7">
        <v>3</v>
      </c>
      <c r="J159" s="26">
        <v>4</v>
      </c>
      <c r="K159" s="26"/>
      <c r="L159" s="26" t="s">
        <v>350</v>
      </c>
      <c r="M159" s="26" t="s">
        <v>351</v>
      </c>
      <c r="N159" s="9" t="str">
        <f>LEFT(INDEX('2026_BUMCT_KIDNEY_CADAVERIC'!$A$1:$E$30,MATCH($H159,'2026_BUMCT_KIDNEY_CADAVERIC'!$A$1:$A$30),MATCH(I159,'2026_BUMCT_KIDNEY_CADAVERIC'!$A$1:$D$1)),30)</f>
        <v xml:space="preserve">PER DIEM RATES for day 61+ of </v>
      </c>
      <c r="O159" s="16">
        <v>2474</v>
      </c>
      <c r="P159" s="507">
        <f t="shared" si="35"/>
        <v>2554</v>
      </c>
    </row>
    <row r="160" spans="1:17">
      <c r="A160" s="1" t="e">
        <f ca="1">'2026_BUMCT_KIDNEY_CADAVERIC'!$A$1</f>
        <v>#VALUE!</v>
      </c>
      <c r="B160" s="14" t="e">
        <f t="shared" ca="1" si="28"/>
        <v>#VALUE!</v>
      </c>
      <c r="C160" s="1" t="s">
        <v>357</v>
      </c>
      <c r="D160" s="4" t="e" cm="1">
        <f t="array" aca="1" ref="D160" ca="1">RIGHT(INDIRECT(ADDRESS(6,2,,,$A160)),6)</f>
        <v>#VALUE!</v>
      </c>
      <c r="E160" s="1" t="e" cm="1">
        <f t="array" aca="1" ref="E160" ca="1">RIGHT(INDIRECT(ADDRESS(4,2,,,$A160)),5)</f>
        <v>#VALUE!</v>
      </c>
      <c r="F160" s="22">
        <v>1.0335000000000001</v>
      </c>
      <c r="G160" s="22">
        <f t="shared" si="29"/>
        <v>1.0325</v>
      </c>
      <c r="H160" s="7">
        <v>4</v>
      </c>
      <c r="I160" s="7">
        <v>3</v>
      </c>
      <c r="J160" s="26">
        <v>4</v>
      </c>
      <c r="K160" s="26"/>
      <c r="L160" s="26" t="s">
        <v>350</v>
      </c>
      <c r="M160" s="26" t="s">
        <v>351</v>
      </c>
      <c r="N160" s="9" t="str">
        <f>LEFT(INDEX('2026_BUMCT_KIDNEY_CADAVERIC'!$A$1:$E$30,MATCH($H160,'2026_BUMCT_KIDNEY_CADAVERIC'!$A$1:$A$30),MATCH(I160,'2026_BUMCT_KIDNEY_CADAVERIC'!$A$1:$D$1)),30)</f>
        <v>Days 11+/61+ paid at the per d</v>
      </c>
      <c r="O160" s="16">
        <v>7263.18</v>
      </c>
      <c r="P160" s="509">
        <f>O160*$Q$2</f>
        <v>8014.1928120000002</v>
      </c>
      <c r="Q160" s="14" t="s">
        <v>352</v>
      </c>
    </row>
    <row r="161" spans="1:20">
      <c r="A161" s="1" t="e">
        <f ca="1">'2026_BUMCT_PANCREAS_AFTER_KDY'!$A$1</f>
        <v>#VALUE!</v>
      </c>
      <c r="B161" s="14" t="e">
        <f t="shared" ca="1" si="28"/>
        <v>#VALUE!</v>
      </c>
      <c r="C161" s="1" t="s">
        <v>357</v>
      </c>
      <c r="D161" s="4" t="e" cm="1">
        <f t="array" aca="1" ref="D161" ca="1">RIGHT(INDIRECT(ADDRESS(6,2,,,$A161)),6)</f>
        <v>#VALUE!</v>
      </c>
      <c r="E161" s="1" t="e" cm="1">
        <f t="array" aca="1" ref="E161" ca="1">RIGHT(INDIRECT(ADDRESS(4,2,,,$A161)),5)</f>
        <v>#VALUE!</v>
      </c>
      <c r="F161" s="22">
        <v>1.0335000000000001</v>
      </c>
      <c r="G161" s="22">
        <f t="shared" si="29"/>
        <v>1.0325</v>
      </c>
      <c r="H161" s="7">
        <v>1</v>
      </c>
      <c r="I161" s="7">
        <v>3</v>
      </c>
      <c r="J161" s="26">
        <v>4</v>
      </c>
      <c r="K161" s="26"/>
      <c r="L161" s="26" t="s">
        <v>350</v>
      </c>
      <c r="M161" s="26" t="s">
        <v>351</v>
      </c>
      <c r="N161" s="9" t="str">
        <f>LEFT(INDEX('2026_BUMCT_PANCREAS_AFTER_KDY'!$A$1:$E$30,MATCH($H161,'2026_BUMCT_PANCREAS_AFTER_KDY'!$A$1:$A$30),MATCH(I161,'2026_BUMCT_PANCREAS_AFTER_KDY'!$A$1:$D$1)),30)</f>
        <v>OUTPATIENT EVALUATION* - Initi</v>
      </c>
      <c r="O161" s="16">
        <v>3722</v>
      </c>
      <c r="P161" s="507">
        <f t="shared" ref="P161:P165" si="36">ROUND(O161*$G$2,0)</f>
        <v>3843</v>
      </c>
    </row>
    <row r="162" spans="1:20">
      <c r="A162" s="1" t="e">
        <f ca="1">'2026_BUMCT_PANCREAS_AFTER_KDY'!$A$1</f>
        <v>#VALUE!</v>
      </c>
      <c r="B162" s="14" t="e">
        <f t="shared" ca="1" si="28"/>
        <v>#VALUE!</v>
      </c>
      <c r="C162" s="1" t="s">
        <v>357</v>
      </c>
      <c r="D162" s="4" t="e" cm="1">
        <f t="array" aca="1" ref="D162" ca="1">RIGHT(INDIRECT(ADDRESS(6,2,,,$A162)),6)</f>
        <v>#VALUE!</v>
      </c>
      <c r="E162" s="1" t="e" cm="1">
        <f t="array" aca="1" ref="E162" ca="1">RIGHT(INDIRECT(ADDRESS(4,2,,,$A162)),5)</f>
        <v>#VALUE!</v>
      </c>
      <c r="F162" s="22">
        <v>1.0335000000000001</v>
      </c>
      <c r="G162" s="22">
        <f t="shared" si="29"/>
        <v>1.0325</v>
      </c>
      <c r="H162" s="7">
        <v>2</v>
      </c>
      <c r="I162" s="7">
        <v>3</v>
      </c>
      <c r="J162" s="26">
        <v>4</v>
      </c>
      <c r="K162" s="26"/>
      <c r="L162" s="26" t="s">
        <v>350</v>
      </c>
      <c r="M162" s="26" t="s">
        <v>351</v>
      </c>
      <c r="N162" s="9" t="str">
        <f>LEFT(INDEX('2026_BUMCT_PANCREAS_AFTER_KDY'!$A$1:$E$30,MATCH($H162,'2026_BUMCT_PANCREAS_AFTER_KDY'!$A$1:$A$30),MATCH(I162,'2026_BUMCT_PANCREAS_AFTER_KDY'!$A$1:$D$1)),30)</f>
        <v>PREP AND TRANSPLANT</v>
      </c>
      <c r="O162" s="16">
        <v>70006</v>
      </c>
      <c r="P162" s="507">
        <f t="shared" si="36"/>
        <v>72281</v>
      </c>
    </row>
    <row r="163" spans="1:20">
      <c r="A163" s="1" t="e">
        <f ca="1">'2026_BUMCT_PANCREAS_AFTER_KDY'!$A$1</f>
        <v>#VALUE!</v>
      </c>
      <c r="B163" s="14" t="e">
        <f t="shared" ca="1" si="28"/>
        <v>#VALUE!</v>
      </c>
      <c r="C163" s="1" t="s">
        <v>357</v>
      </c>
      <c r="D163" s="4" t="e" cm="1">
        <f t="array" aca="1" ref="D163" ca="1">RIGHT(INDIRECT(ADDRESS(6,2,,,$A163)),6)</f>
        <v>#VALUE!</v>
      </c>
      <c r="E163" s="1" t="e" cm="1">
        <f t="array" aca="1" ref="E163" ca="1">RIGHT(INDIRECT(ADDRESS(4,2,,,$A163)),5)</f>
        <v>#VALUE!</v>
      </c>
      <c r="F163" s="22">
        <v>1.0335000000000001</v>
      </c>
      <c r="G163" s="22">
        <f t="shared" si="29"/>
        <v>1.0325</v>
      </c>
      <c r="H163" s="7">
        <v>3</v>
      </c>
      <c r="I163" s="7">
        <v>3</v>
      </c>
      <c r="J163" s="26">
        <v>4</v>
      </c>
      <c r="K163" s="26"/>
      <c r="L163" s="26" t="s">
        <v>350</v>
      </c>
      <c r="M163" s="26" t="s">
        <v>351</v>
      </c>
      <c r="N163" s="9" t="str">
        <f>LEFT(INDEX('2026_BUMCT_PANCREAS_AFTER_KDY'!$A$1:$E$30,MATCH($H163,'2026_BUMCT_PANCREAS_AFTER_KDY'!$A$1:$A$30),MATCH(I163,'2026_BUMCT_PANCREAS_AFTER_KDY'!$A$1:$D$1)),30)</f>
        <v>FOLLOW UP CARE - From day 1 po</v>
      </c>
      <c r="O163" s="16">
        <v>54718</v>
      </c>
      <c r="P163" s="507">
        <f t="shared" si="36"/>
        <v>56496</v>
      </c>
    </row>
    <row r="164" spans="1:20">
      <c r="A164" s="1" t="e">
        <f ca="1">'2026_BUMCT_PANCREAS_AFTER_KDY'!$A$1</f>
        <v>#VALUE!</v>
      </c>
      <c r="B164" s="14" t="e">
        <f t="shared" ca="1" si="28"/>
        <v>#VALUE!</v>
      </c>
      <c r="C164" s="1" t="s">
        <v>357</v>
      </c>
      <c r="D164" s="4" t="e" cm="1">
        <f t="array" aca="1" ref="D164" ca="1">RIGHT(INDIRECT(ADDRESS(6,2,,,$A164)),6)</f>
        <v>#VALUE!</v>
      </c>
      <c r="E164" s="1" t="e" cm="1">
        <f t="array" aca="1" ref="E164" ca="1">RIGHT(INDIRECT(ADDRESS(4,2,,,$A164)),5)</f>
        <v>#VALUE!</v>
      </c>
      <c r="F164" s="22">
        <v>1.0335000000000001</v>
      </c>
      <c r="G164" s="22">
        <f t="shared" si="29"/>
        <v>1.0325</v>
      </c>
      <c r="H164" s="7">
        <v>4</v>
      </c>
      <c r="I164" s="7">
        <v>3</v>
      </c>
      <c r="J164" s="26">
        <v>4</v>
      </c>
      <c r="K164" s="26"/>
      <c r="L164" s="26" t="s">
        <v>350</v>
      </c>
      <c r="M164" s="26" t="s">
        <v>351</v>
      </c>
      <c r="N164" s="9" t="str">
        <f>LEFT(INDEX('2026_BUMCT_PANCREAS_AFTER_KDY'!$A$1:$E$30,MATCH($H164,'2026_BUMCT_PANCREAS_AFTER_KDY'!$A$1:$A$30),MATCH(I164,'2026_BUMCT_PANCREAS_AFTER_KDY'!$A$1:$D$1)),30)</f>
        <v xml:space="preserve">FOLLOW UP CARE - From day 31  </v>
      </c>
      <c r="O164" s="16">
        <v>22508</v>
      </c>
      <c r="P164" s="507">
        <f t="shared" si="36"/>
        <v>23240</v>
      </c>
    </row>
    <row r="165" spans="1:20">
      <c r="A165" s="1" t="e">
        <f ca="1">'2026_BUMCT_PANCREAS_AFTER_KDY'!$A$1</f>
        <v>#VALUE!</v>
      </c>
      <c r="B165" s="14" t="e">
        <f t="shared" ca="1" si="28"/>
        <v>#VALUE!</v>
      </c>
      <c r="C165" s="1" t="s">
        <v>357</v>
      </c>
      <c r="D165" s="4" t="e" cm="1">
        <f t="array" aca="1" ref="D165" ca="1">RIGHT(INDIRECT(ADDRESS(6,2,,,$A165)),6)</f>
        <v>#VALUE!</v>
      </c>
      <c r="E165" s="1" t="e" cm="1">
        <f t="array" aca="1" ref="E165" ca="1">RIGHT(INDIRECT(ADDRESS(4,2,,,$A165)),5)</f>
        <v>#VALUE!</v>
      </c>
      <c r="F165" s="22">
        <v>1.0335000000000001</v>
      </c>
      <c r="G165" s="22">
        <f t="shared" si="29"/>
        <v>1.0325</v>
      </c>
      <c r="H165" s="7">
        <v>5</v>
      </c>
      <c r="I165" s="7">
        <v>3</v>
      </c>
      <c r="J165" s="26">
        <v>4</v>
      </c>
      <c r="K165" s="26"/>
      <c r="L165" s="26" t="s">
        <v>350</v>
      </c>
      <c r="M165" s="26" t="s">
        <v>351</v>
      </c>
      <c r="N165" s="9" t="str">
        <f>LEFT(INDEX('2026_BUMCT_PANCREAS_AFTER_KDY'!$A$1:$E$30,MATCH($H165,'2026_BUMCT_PANCREAS_AFTER_KDY'!$A$1:$A$30),MATCH(I165,'2026_BUMCT_PANCREAS_AFTER_KDY'!$A$1:$D$1)),30)</f>
        <v xml:space="preserve">PER DIEM RATES for day 61+ of </v>
      </c>
      <c r="O165" s="16">
        <v>2474</v>
      </c>
      <c r="P165" s="507">
        <f t="shared" si="36"/>
        <v>2554</v>
      </c>
    </row>
    <row r="166" spans="1:20">
      <c r="A166" s="1" t="e">
        <f ca="1">'2026_BUMCT_PANCREAS_AFTER_KDY'!$A$1</f>
        <v>#VALUE!</v>
      </c>
      <c r="B166" s="14" t="e">
        <f t="shared" ca="1" si="28"/>
        <v>#VALUE!</v>
      </c>
      <c r="C166" s="1" t="s">
        <v>357</v>
      </c>
      <c r="D166" s="4" t="e" cm="1">
        <f t="array" aca="1" ref="D166" ca="1">RIGHT(INDIRECT(ADDRESS(6,2,,,$A166)),6)</f>
        <v>#VALUE!</v>
      </c>
      <c r="E166" s="1" t="e" cm="1">
        <f t="array" aca="1" ref="E166" ca="1">RIGHT(INDIRECT(ADDRESS(4,2,,,$A166)),5)</f>
        <v>#VALUE!</v>
      </c>
      <c r="F166" s="22">
        <v>1.0335000000000001</v>
      </c>
      <c r="G166" s="22">
        <f t="shared" si="29"/>
        <v>1.0325</v>
      </c>
      <c r="H166" s="7">
        <v>6</v>
      </c>
      <c r="I166" s="7">
        <v>3</v>
      </c>
      <c r="J166" s="26">
        <v>4</v>
      </c>
      <c r="K166" s="26"/>
      <c r="L166" s="26" t="s">
        <v>350</v>
      </c>
      <c r="M166" s="26" t="s">
        <v>351</v>
      </c>
      <c r="N166" s="9" t="str">
        <f>LEFT(INDEX('2026_BUMCT_PANCREAS_AFTER_KDY'!$A$1:$E$30,MATCH($H166,'2026_BUMCT_PANCREAS_AFTER_KDY'!$A$1:$A$30),MATCH(I166,'2026_BUMCT_PANCREAS_AFTER_KDY'!$A$1:$D$1)),30)</f>
        <v>Days 11+/61+ paid at the per d</v>
      </c>
      <c r="O166" s="16">
        <v>7263.18</v>
      </c>
      <c r="P166" s="509">
        <f>O166*$Q$2</f>
        <v>8014.1928120000002</v>
      </c>
      <c r="Q166" s="14" t="s">
        <v>352</v>
      </c>
    </row>
    <row r="167" spans="1:20">
      <c r="A167" s="1" t="e">
        <f ca="1">'2026_BUMCT_SIM_PANCREA_KDY'!$A$1</f>
        <v>#VALUE!</v>
      </c>
      <c r="B167" s="14" t="e">
        <f t="shared" ca="1" si="28"/>
        <v>#VALUE!</v>
      </c>
      <c r="C167" s="1" t="s">
        <v>357</v>
      </c>
      <c r="D167" s="4" t="e" cm="1">
        <f t="array" aca="1" ref="D167" ca="1">RIGHT(INDIRECT(ADDRESS(6,2,,,$A167)),6)</f>
        <v>#VALUE!</v>
      </c>
      <c r="E167" s="1" t="e" cm="1">
        <f t="array" aca="1" ref="E167" ca="1">RIGHT(INDIRECT(ADDRESS(4,2,,,$A167)),5)</f>
        <v>#VALUE!</v>
      </c>
      <c r="F167" s="22">
        <v>1.0335000000000001</v>
      </c>
      <c r="G167" s="22">
        <f t="shared" si="29"/>
        <v>1.0325</v>
      </c>
      <c r="H167" s="7">
        <v>1</v>
      </c>
      <c r="I167" s="7">
        <v>3</v>
      </c>
      <c r="J167" s="26">
        <v>4</v>
      </c>
      <c r="K167" s="26"/>
      <c r="L167" s="26" t="s">
        <v>350</v>
      </c>
      <c r="M167" s="26" t="s">
        <v>351</v>
      </c>
      <c r="N167" s="9" t="str">
        <f>LEFT(INDEX('2026_BUMCT_SIM_PANCREA_KDY'!$A$1:$E$30,MATCH($H167,'2026_BUMCT_SIM_PANCREA_KDY'!$A$1:$A$30),MATCH(I167,'2026_BUMCT_SIM_PANCREA_KDY'!$A$1:$D$1)),30)</f>
        <v>OUTPATIENT EVALUATION* - Initi</v>
      </c>
      <c r="O167" s="16">
        <v>5344</v>
      </c>
      <c r="P167" s="507">
        <f t="shared" ref="P167:P177" si="37">ROUND(O167*$G$2,0)</f>
        <v>5518</v>
      </c>
    </row>
    <row r="168" spans="1:20">
      <c r="A168" s="1" t="e">
        <f ca="1">'2026_BUMCT_SIM_PANCREA_KDY'!$A$1</f>
        <v>#VALUE!</v>
      </c>
      <c r="B168" s="14" t="e">
        <f t="shared" ca="1" si="28"/>
        <v>#VALUE!</v>
      </c>
      <c r="C168" s="1" t="s">
        <v>357</v>
      </c>
      <c r="D168" s="4" t="e" cm="1">
        <f t="array" aca="1" ref="D168" ca="1">RIGHT(INDIRECT(ADDRESS(6,2,,,$A168)),6)</f>
        <v>#VALUE!</v>
      </c>
      <c r="E168" s="1" t="e" cm="1">
        <f t="array" aca="1" ref="E168" ca="1">RIGHT(INDIRECT(ADDRESS(4,2,,,$A168)),5)</f>
        <v>#VALUE!</v>
      </c>
      <c r="F168" s="22">
        <v>1.0335000000000001</v>
      </c>
      <c r="G168" s="22">
        <f t="shared" si="29"/>
        <v>1.0325</v>
      </c>
      <c r="H168" s="7">
        <v>2</v>
      </c>
      <c r="I168" s="7">
        <v>3</v>
      </c>
      <c r="J168" s="26">
        <v>4</v>
      </c>
      <c r="K168" s="26"/>
      <c r="L168" s="26" t="s">
        <v>350</v>
      </c>
      <c r="M168" s="26" t="s">
        <v>351</v>
      </c>
      <c r="N168" s="9" t="str">
        <f>LEFT(INDEX('2026_BUMCT_SIM_PANCREA_KDY'!$A$1:$E$30,MATCH($H168,'2026_BUMCT_SIM_PANCREA_KDY'!$A$1:$A$30),MATCH(I168,'2026_BUMCT_SIM_PANCREA_KDY'!$A$1:$D$1)),30)</f>
        <v>PREP AND TRANSPLANT</v>
      </c>
      <c r="O168" s="16">
        <v>85669</v>
      </c>
      <c r="P168" s="507">
        <f t="shared" si="37"/>
        <v>88453</v>
      </c>
    </row>
    <row r="169" spans="1:20">
      <c r="A169" s="1" t="e">
        <f ca="1">'2026_BUMCT_SIM_PANCREA_KDY'!$A$1</f>
        <v>#VALUE!</v>
      </c>
      <c r="B169" s="14" t="e">
        <f t="shared" ca="1" si="28"/>
        <v>#VALUE!</v>
      </c>
      <c r="C169" s="1" t="s">
        <v>357</v>
      </c>
      <c r="D169" s="4" t="e" cm="1">
        <f t="array" aca="1" ref="D169" ca="1">RIGHT(INDIRECT(ADDRESS(6,2,,,$A169)),6)</f>
        <v>#VALUE!</v>
      </c>
      <c r="E169" s="1" t="e" cm="1">
        <f t="array" aca="1" ref="E169" ca="1">RIGHT(INDIRECT(ADDRESS(4,2,,,$A169)),5)</f>
        <v>#VALUE!</v>
      </c>
      <c r="F169" s="22">
        <v>1.0335000000000001</v>
      </c>
      <c r="G169" s="22">
        <f t="shared" si="29"/>
        <v>1.0325</v>
      </c>
      <c r="H169" s="7">
        <v>3</v>
      </c>
      <c r="I169" s="7">
        <v>3</v>
      </c>
      <c r="J169" s="26">
        <v>4</v>
      </c>
      <c r="K169" s="26"/>
      <c r="L169" s="26" t="s">
        <v>350</v>
      </c>
      <c r="M169" s="26" t="s">
        <v>351</v>
      </c>
      <c r="N169" s="9" t="str">
        <f>LEFT(INDEX('2026_BUMCT_SIM_PANCREA_KDY'!$A$1:$E$30,MATCH($H169,'2026_BUMCT_SIM_PANCREA_KDY'!$A$1:$A$30),MATCH(I169,'2026_BUMCT_SIM_PANCREA_KDY'!$A$1:$D$1)),30)</f>
        <v>FOLLOW UP CARE - From day 1 po</v>
      </c>
      <c r="O169" s="16">
        <v>77127</v>
      </c>
      <c r="P169" s="507">
        <f t="shared" si="37"/>
        <v>79634</v>
      </c>
    </row>
    <row r="170" spans="1:20">
      <c r="A170" s="1" t="e">
        <f ca="1">'2026_BUMCT_SIM_PANCREA_KDY'!$A$1</f>
        <v>#VALUE!</v>
      </c>
      <c r="B170" s="14" t="e">
        <f t="shared" ca="1" si="28"/>
        <v>#VALUE!</v>
      </c>
      <c r="C170" s="1" t="s">
        <v>357</v>
      </c>
      <c r="D170" s="4" t="e" cm="1">
        <f t="array" aca="1" ref="D170" ca="1">RIGHT(INDIRECT(ADDRESS(6,2,,,$A170)),6)</f>
        <v>#VALUE!</v>
      </c>
      <c r="E170" s="1" t="e" cm="1">
        <f t="array" aca="1" ref="E170" ca="1">RIGHT(INDIRECT(ADDRESS(4,2,,,$A170)),5)</f>
        <v>#VALUE!</v>
      </c>
      <c r="F170" s="22">
        <v>1.0335000000000001</v>
      </c>
      <c r="G170" s="22">
        <f t="shared" si="29"/>
        <v>1.0325</v>
      </c>
      <c r="H170" s="7">
        <v>4</v>
      </c>
      <c r="I170" s="7">
        <v>3</v>
      </c>
      <c r="J170" s="26">
        <v>4</v>
      </c>
      <c r="K170" s="26"/>
      <c r="L170" s="26" t="s">
        <v>350</v>
      </c>
      <c r="M170" s="26" t="s">
        <v>351</v>
      </c>
      <c r="N170" s="9" t="str">
        <f>LEFT(INDEX('2026_BUMCT_SIM_PANCREA_KDY'!$A$1:$E$30,MATCH($H170,'2026_BUMCT_SIM_PANCREA_KDY'!$A$1:$A$30),MATCH(I170,'2026_BUMCT_SIM_PANCREA_KDY'!$A$1:$D$1)),30)</f>
        <v xml:space="preserve">FOLLOW UP CARE - From day 31  </v>
      </c>
      <c r="O170" s="16">
        <v>22511</v>
      </c>
      <c r="P170" s="507">
        <f t="shared" si="37"/>
        <v>23243</v>
      </c>
    </row>
    <row r="171" spans="1:20">
      <c r="A171" s="1" t="e">
        <f ca="1">'2026_BUMCT_SIM_PANCREA_KDY'!$A$1</f>
        <v>#VALUE!</v>
      </c>
      <c r="B171" s="14" t="e">
        <f t="shared" ca="1" si="28"/>
        <v>#VALUE!</v>
      </c>
      <c r="C171" s="1" t="s">
        <v>357</v>
      </c>
      <c r="D171" s="4" t="e" cm="1">
        <f t="array" aca="1" ref="D171" ca="1">RIGHT(INDIRECT(ADDRESS(6,2,,,$A171)),6)</f>
        <v>#VALUE!</v>
      </c>
      <c r="E171" s="1" t="e" cm="1">
        <f t="array" aca="1" ref="E171" ca="1">RIGHT(INDIRECT(ADDRESS(4,2,,,$A171)),5)</f>
        <v>#VALUE!</v>
      </c>
      <c r="F171" s="22">
        <v>1.0335000000000001</v>
      </c>
      <c r="G171" s="22">
        <f t="shared" si="29"/>
        <v>1.0325</v>
      </c>
      <c r="H171" s="7">
        <v>5</v>
      </c>
      <c r="I171" s="7">
        <v>3</v>
      </c>
      <c r="J171" s="26">
        <v>4</v>
      </c>
      <c r="K171" s="26"/>
      <c r="L171" s="26" t="s">
        <v>350</v>
      </c>
      <c r="M171" s="26" t="s">
        <v>351</v>
      </c>
      <c r="N171" s="9" t="str">
        <f>LEFT(INDEX('2026_BUMCT_SIM_PANCREA_KDY'!$A$1:$E$30,MATCH($H171,'2026_BUMCT_SIM_PANCREA_KDY'!$A$1:$A$30),MATCH(I171,'2026_BUMCT_SIM_PANCREA_KDY'!$A$1:$D$1)),30)</f>
        <v xml:space="preserve">PER DIEM RATES for day 61+ of </v>
      </c>
      <c r="O171" s="16">
        <v>2474</v>
      </c>
      <c r="P171" s="507">
        <f t="shared" si="37"/>
        <v>2554</v>
      </c>
    </row>
    <row r="172" spans="1:20">
      <c r="A172" s="1" t="e">
        <f ca="1">'2026_BUMCT_SIM_PANCREA_KDY'!$A$1</f>
        <v>#VALUE!</v>
      </c>
      <c r="B172" s="14" t="e">
        <f t="shared" ca="1" si="28"/>
        <v>#VALUE!</v>
      </c>
      <c r="C172" s="1" t="s">
        <v>357</v>
      </c>
      <c r="D172" s="4" t="e" cm="1">
        <f t="array" aca="1" ref="D172" ca="1">RIGHT(INDIRECT(ADDRESS(6,2,,,$A172)),6)</f>
        <v>#VALUE!</v>
      </c>
      <c r="E172" s="1" t="e" cm="1">
        <f t="array" aca="1" ref="E172" ca="1">RIGHT(INDIRECT(ADDRESS(4,2,,,$A172)),5)</f>
        <v>#VALUE!</v>
      </c>
      <c r="F172" s="22">
        <v>1.0335000000000001</v>
      </c>
      <c r="G172" s="22">
        <f t="shared" si="29"/>
        <v>1.0325</v>
      </c>
      <c r="H172" s="7">
        <v>6</v>
      </c>
      <c r="I172" s="7">
        <v>3</v>
      </c>
      <c r="J172" s="26">
        <v>4</v>
      </c>
      <c r="K172" s="26"/>
      <c r="L172" s="26" t="s">
        <v>350</v>
      </c>
      <c r="M172" s="26" t="s">
        <v>351</v>
      </c>
      <c r="N172" s="9" t="str">
        <f>LEFT(INDEX('2026_BUMCT_SIM_PANCREA_KDY'!$A$1:$E$30,MATCH($H172,'2026_BUMCT_SIM_PANCREA_KDY'!$A$1:$A$30),MATCH(I172,'2026_BUMCT_SIM_PANCREA_KDY'!$A$1:$D$1)),30)</f>
        <v>Days 11+/61+ paid at the per d</v>
      </c>
      <c r="O172" s="16">
        <v>7263.18</v>
      </c>
      <c r="P172" s="509">
        <f>O172*$Q$2</f>
        <v>8014.1928120000002</v>
      </c>
      <c r="Q172" s="14" t="s">
        <v>352</v>
      </c>
    </row>
    <row r="173" spans="1:20">
      <c r="A173" s="194" t="e">
        <f>#REF!</f>
        <v>#REF!</v>
      </c>
      <c r="B173" s="195" t="e">
        <f t="shared" ca="1" si="28"/>
        <v>#REF!</v>
      </c>
      <c r="C173" s="194" t="s">
        <v>357</v>
      </c>
      <c r="D173" s="512" t="e" cm="1">
        <f t="array" aca="1" ref="D173" ca="1">RIGHT(INDIRECT(ADDRESS(6,2,,,$A173)),6)</f>
        <v>#REF!</v>
      </c>
      <c r="E173" s="194" t="e" cm="1">
        <f t="array" aca="1" ref="E173" ca="1">RIGHT(INDIRECT(ADDRESS(4,2,,,$A173)),5)</f>
        <v>#REF!</v>
      </c>
      <c r="F173" s="513">
        <v>1.0335000000000001</v>
      </c>
      <c r="G173" s="513">
        <f t="shared" si="29"/>
        <v>1.0325</v>
      </c>
      <c r="H173" s="514">
        <v>1</v>
      </c>
      <c r="I173" s="514">
        <v>3</v>
      </c>
      <c r="J173" s="515">
        <v>4</v>
      </c>
      <c r="K173" s="515"/>
      <c r="L173" s="515" t="s">
        <v>350</v>
      </c>
      <c r="M173" s="515" t="s">
        <v>351</v>
      </c>
      <c r="N173" s="516" t="e">
        <f>LEFT(INDEX(#REF!,MATCH($H173,#REF!),MATCH(I173,#REF!)),30)</f>
        <v>#REF!</v>
      </c>
      <c r="O173" s="517">
        <v>7765</v>
      </c>
      <c r="P173" s="518">
        <f t="shared" si="37"/>
        <v>8017</v>
      </c>
      <c r="Q173" s="195" t="s">
        <v>358</v>
      </c>
      <c r="S173" s="194" t="s">
        <v>359</v>
      </c>
      <c r="T173" s="194"/>
    </row>
    <row r="174" spans="1:20">
      <c r="A174" s="194" t="e">
        <f>#REF!</f>
        <v>#REF!</v>
      </c>
      <c r="B174" s="195" t="e">
        <f t="shared" si="28"/>
        <v>#REF!</v>
      </c>
      <c r="C174" s="194" t="s">
        <v>357</v>
      </c>
      <c r="D174" s="512" t="e" cm="1">
        <f t="array" aca="1" ref="D174" ca="1">RIGHT(INDIRECT(ADDRESS(6,2,,,$A174)),6)</f>
        <v>#REF!</v>
      </c>
      <c r="E174" s="194" t="e" cm="1">
        <f t="array" aca="1" ref="E174" ca="1">RIGHT(INDIRECT(ADDRESS(4,2,,,$A174)),5)</f>
        <v>#REF!</v>
      </c>
      <c r="F174" s="513">
        <v>1.0335000000000001</v>
      </c>
      <c r="G174" s="513">
        <f t="shared" si="29"/>
        <v>1.0325</v>
      </c>
      <c r="H174" s="514">
        <v>2</v>
      </c>
      <c r="I174" s="514">
        <v>3</v>
      </c>
      <c r="J174" s="515">
        <v>4</v>
      </c>
      <c r="K174" s="515"/>
      <c r="L174" s="515" t="s">
        <v>350</v>
      </c>
      <c r="M174" s="515" t="s">
        <v>351</v>
      </c>
      <c r="N174" s="516" t="e">
        <f>LEFT(INDEX(#REF!,MATCH($H174,#REF!),MATCH(I174,#REF!)),30)</f>
        <v>#REF!</v>
      </c>
      <c r="O174" s="517">
        <v>178939</v>
      </c>
      <c r="P174" s="518">
        <f t="shared" si="37"/>
        <v>184755</v>
      </c>
      <c r="Q174" s="195" t="s">
        <v>358</v>
      </c>
      <c r="S174" s="194" t="s">
        <v>359</v>
      </c>
      <c r="T174" s="194"/>
    </row>
    <row r="175" spans="1:20">
      <c r="A175" s="194" t="e">
        <f>#REF!</f>
        <v>#REF!</v>
      </c>
      <c r="B175" s="195" t="e">
        <f t="shared" si="28"/>
        <v>#REF!</v>
      </c>
      <c r="C175" s="194" t="s">
        <v>357</v>
      </c>
      <c r="D175" s="512" t="e" cm="1">
        <f t="array" aca="1" ref="D175" ca="1">RIGHT(INDIRECT(ADDRESS(6,2,,,$A175)),6)</f>
        <v>#REF!</v>
      </c>
      <c r="E175" s="194" t="e" cm="1">
        <f t="array" aca="1" ref="E175" ca="1">RIGHT(INDIRECT(ADDRESS(4,2,,,$A175)),5)</f>
        <v>#REF!</v>
      </c>
      <c r="F175" s="513">
        <v>1.0335000000000001</v>
      </c>
      <c r="G175" s="513">
        <f t="shared" si="29"/>
        <v>1.0325</v>
      </c>
      <c r="H175" s="514">
        <v>3</v>
      </c>
      <c r="I175" s="514">
        <v>3</v>
      </c>
      <c r="J175" s="515">
        <v>4</v>
      </c>
      <c r="K175" s="515"/>
      <c r="L175" s="515" t="s">
        <v>350</v>
      </c>
      <c r="M175" s="515" t="s">
        <v>351</v>
      </c>
      <c r="N175" s="516" t="e">
        <f>LEFT(INDEX(#REF!,MATCH($H175,#REF!),MATCH(I175,#REF!)),30)</f>
        <v>#REF!</v>
      </c>
      <c r="O175" s="517">
        <v>138546</v>
      </c>
      <c r="P175" s="518">
        <f t="shared" si="37"/>
        <v>143049</v>
      </c>
      <c r="Q175" s="195" t="s">
        <v>358</v>
      </c>
      <c r="S175" s="194" t="s">
        <v>359</v>
      </c>
      <c r="T175" s="194"/>
    </row>
    <row r="176" spans="1:20">
      <c r="A176" s="194" t="e">
        <f>#REF!</f>
        <v>#REF!</v>
      </c>
      <c r="B176" s="195" t="e">
        <f t="shared" si="28"/>
        <v>#REF!</v>
      </c>
      <c r="C176" s="194" t="s">
        <v>357</v>
      </c>
      <c r="D176" s="512" t="e" cm="1">
        <f t="array" aca="1" ref="D176" ca="1">RIGHT(INDIRECT(ADDRESS(6,2,,,$A176)),6)</f>
        <v>#REF!</v>
      </c>
      <c r="E176" s="194" t="e" cm="1">
        <f t="array" aca="1" ref="E176" ca="1">RIGHT(INDIRECT(ADDRESS(4,2,,,$A176)),5)</f>
        <v>#REF!</v>
      </c>
      <c r="F176" s="513">
        <v>1.0335000000000001</v>
      </c>
      <c r="G176" s="513">
        <f t="shared" si="29"/>
        <v>1.0325</v>
      </c>
      <c r="H176" s="514">
        <v>4</v>
      </c>
      <c r="I176" s="514">
        <v>3</v>
      </c>
      <c r="J176" s="515">
        <v>4</v>
      </c>
      <c r="K176" s="515"/>
      <c r="L176" s="515" t="s">
        <v>350</v>
      </c>
      <c r="M176" s="515" t="s">
        <v>351</v>
      </c>
      <c r="N176" s="516" t="e">
        <f>LEFT(INDEX(#REF!,MATCH($H176,#REF!),MATCH(I176,#REF!)),30)</f>
        <v>#REF!</v>
      </c>
      <c r="O176" s="517">
        <v>31141</v>
      </c>
      <c r="P176" s="518">
        <f t="shared" si="37"/>
        <v>32153</v>
      </c>
      <c r="Q176" s="195" t="s">
        <v>358</v>
      </c>
      <c r="S176" s="194" t="s">
        <v>359</v>
      </c>
      <c r="T176" s="194"/>
    </row>
    <row r="177" spans="1:20">
      <c r="A177" s="194" t="e">
        <f>#REF!</f>
        <v>#REF!</v>
      </c>
      <c r="B177" s="195" t="e">
        <f t="shared" si="28"/>
        <v>#REF!</v>
      </c>
      <c r="C177" s="194" t="s">
        <v>357</v>
      </c>
      <c r="D177" s="512" t="e" cm="1">
        <f t="array" aca="1" ref="D177" ca="1">RIGHT(INDIRECT(ADDRESS(6,2,,,$A177)),6)</f>
        <v>#REF!</v>
      </c>
      <c r="E177" s="194" t="e" cm="1">
        <f t="array" aca="1" ref="E177" ca="1">RIGHT(INDIRECT(ADDRESS(4,2,,,$A177)),5)</f>
        <v>#REF!</v>
      </c>
      <c r="F177" s="513">
        <v>1.0335000000000001</v>
      </c>
      <c r="G177" s="513">
        <f t="shared" si="29"/>
        <v>1.0325</v>
      </c>
      <c r="H177" s="514">
        <v>5</v>
      </c>
      <c r="I177" s="514">
        <v>3</v>
      </c>
      <c r="J177" s="515">
        <v>4</v>
      </c>
      <c r="K177" s="515"/>
      <c r="L177" s="515" t="s">
        <v>350</v>
      </c>
      <c r="M177" s="515" t="s">
        <v>351</v>
      </c>
      <c r="N177" s="516" t="e">
        <f>LEFT(INDEX(#REF!,MATCH($H177,#REF!),MATCH(I177,#REF!)),30)</f>
        <v>#REF!</v>
      </c>
      <c r="O177" s="517">
        <v>2474</v>
      </c>
      <c r="P177" s="518">
        <f t="shared" si="37"/>
        <v>2554</v>
      </c>
      <c r="Q177" s="195" t="s">
        <v>358</v>
      </c>
      <c r="S177" s="194" t="s">
        <v>359</v>
      </c>
      <c r="T177" s="194"/>
    </row>
    <row r="178" spans="1:20">
      <c r="A178" s="194" t="e">
        <f>#REF!</f>
        <v>#REF!</v>
      </c>
      <c r="B178" s="195" t="e">
        <f t="shared" si="28"/>
        <v>#REF!</v>
      </c>
      <c r="C178" s="194" t="s">
        <v>357</v>
      </c>
      <c r="D178" s="512" t="e" cm="1">
        <f t="array" aca="1" ref="D178" ca="1">RIGHT(INDIRECT(ADDRESS(6,2,,,$A178)),6)</f>
        <v>#REF!</v>
      </c>
      <c r="E178" s="194" t="e" cm="1">
        <f t="array" aca="1" ref="E178" ca="1">RIGHT(INDIRECT(ADDRESS(4,2,,,$A178)),5)</f>
        <v>#REF!</v>
      </c>
      <c r="F178" s="513">
        <v>1.0335000000000001</v>
      </c>
      <c r="G178" s="513">
        <f t="shared" si="29"/>
        <v>1.0325</v>
      </c>
      <c r="H178" s="514">
        <v>6</v>
      </c>
      <c r="I178" s="514">
        <v>3</v>
      </c>
      <c r="J178" s="515">
        <v>4</v>
      </c>
      <c r="K178" s="515"/>
      <c r="L178" s="515" t="s">
        <v>350</v>
      </c>
      <c r="M178" s="515" t="s">
        <v>351</v>
      </c>
      <c r="N178" s="516" t="e">
        <f>LEFT(INDEX(#REF!,MATCH($H178,#REF!),MATCH(I178,#REF!)),30)</f>
        <v>#REF!</v>
      </c>
      <c r="O178" s="517">
        <v>7263.18</v>
      </c>
      <c r="P178" s="518">
        <f>O178</f>
        <v>7263.18</v>
      </c>
      <c r="Q178" s="195" t="s">
        <v>354</v>
      </c>
      <c r="S178" s="194" t="s">
        <v>359</v>
      </c>
      <c r="T178" s="194"/>
    </row>
    <row r="179" spans="1:20">
      <c r="A179" s="194" t="e">
        <f>#REF!</f>
        <v>#REF!</v>
      </c>
      <c r="B179" s="195" t="e">
        <f t="shared" si="28"/>
        <v>#REF!</v>
      </c>
      <c r="C179" s="194" t="s">
        <v>357</v>
      </c>
      <c r="D179" s="512" t="e" cm="1">
        <f t="array" aca="1" ref="D179" ca="1">RIGHT(INDIRECT(ADDRESS(6,2,,,$A179)),6)</f>
        <v>#REF!</v>
      </c>
      <c r="E179" s="194" t="e" cm="1">
        <f t="array" aca="1" ref="E179" ca="1">RIGHT(INDIRECT(ADDRESS(4,2,,,$A179)),5)</f>
        <v>#REF!</v>
      </c>
      <c r="F179" s="513">
        <v>1.0335000000000001</v>
      </c>
      <c r="G179" s="513">
        <f t="shared" si="29"/>
        <v>1.0325</v>
      </c>
      <c r="H179" s="514">
        <v>1</v>
      </c>
      <c r="I179" s="514">
        <v>3</v>
      </c>
      <c r="J179" s="515"/>
      <c r="K179" s="515"/>
      <c r="L179" s="515"/>
      <c r="M179" s="515"/>
      <c r="N179" s="516" t="e">
        <f>LEFT(INDEX(#REF!,MATCH($H179,#REF!),MATCH(I179,#REF!)),30)</f>
        <v>#REF!</v>
      </c>
      <c r="O179" s="517">
        <v>8011</v>
      </c>
      <c r="P179" s="518">
        <f t="shared" ref="P179:P183" si="38">ROUND(O179*$G$2,0)</f>
        <v>8271</v>
      </c>
      <c r="Q179" s="195" t="s">
        <v>358</v>
      </c>
      <c r="S179" s="194" t="s">
        <v>360</v>
      </c>
      <c r="T179" s="194"/>
    </row>
    <row r="180" spans="1:20">
      <c r="A180" s="194" t="e">
        <f>#REF!</f>
        <v>#REF!</v>
      </c>
      <c r="B180" s="195" t="e">
        <f t="shared" si="28"/>
        <v>#REF!</v>
      </c>
      <c r="C180" s="194" t="s">
        <v>357</v>
      </c>
      <c r="D180" s="512" t="e" cm="1">
        <f t="array" aca="1" ref="D180" ca="1">RIGHT(INDIRECT(ADDRESS(6,2,,,$A180)),6)</f>
        <v>#REF!</v>
      </c>
      <c r="E180" s="194" t="e" cm="1">
        <f t="array" aca="1" ref="E180" ca="1">RIGHT(INDIRECT(ADDRESS(4,2,,,$A180)),5)</f>
        <v>#REF!</v>
      </c>
      <c r="F180" s="513">
        <v>1.0335000000000001</v>
      </c>
      <c r="G180" s="513">
        <f t="shared" si="29"/>
        <v>1.0325</v>
      </c>
      <c r="H180" s="514">
        <v>2</v>
      </c>
      <c r="I180" s="514">
        <v>3</v>
      </c>
      <c r="J180" s="515"/>
      <c r="K180" s="515"/>
      <c r="L180" s="515"/>
      <c r="M180" s="515"/>
      <c r="N180" s="516" t="e">
        <f>LEFT(INDEX(#REF!,MATCH($H180,#REF!),MATCH(I180,#REF!)),30)</f>
        <v>#REF!</v>
      </c>
      <c r="O180" s="517">
        <v>217604</v>
      </c>
      <c r="P180" s="518">
        <f t="shared" si="38"/>
        <v>224676</v>
      </c>
      <c r="Q180" s="195" t="s">
        <v>358</v>
      </c>
      <c r="S180" s="194" t="s">
        <v>360</v>
      </c>
      <c r="T180" s="194"/>
    </row>
    <row r="181" spans="1:20">
      <c r="A181" s="194" t="e">
        <f>#REF!</f>
        <v>#REF!</v>
      </c>
      <c r="B181" s="195" t="e">
        <f t="shared" si="28"/>
        <v>#REF!</v>
      </c>
      <c r="C181" s="194" t="s">
        <v>357</v>
      </c>
      <c r="D181" s="512" t="e" cm="1">
        <f t="array" aca="1" ref="D181" ca="1">RIGHT(INDIRECT(ADDRESS(6,2,,,$A181)),6)</f>
        <v>#REF!</v>
      </c>
      <c r="E181" s="194" t="e" cm="1">
        <f t="array" aca="1" ref="E181" ca="1">RIGHT(INDIRECT(ADDRESS(4,2,,,$A181)),5)</f>
        <v>#REF!</v>
      </c>
      <c r="F181" s="513">
        <v>1.0335000000000001</v>
      </c>
      <c r="G181" s="513">
        <f t="shared" si="29"/>
        <v>1.0325</v>
      </c>
      <c r="H181" s="514">
        <v>3</v>
      </c>
      <c r="I181" s="514">
        <v>3</v>
      </c>
      <c r="J181" s="515"/>
      <c r="K181" s="515"/>
      <c r="L181" s="515"/>
      <c r="M181" s="515"/>
      <c r="N181" s="516" t="e">
        <f>LEFT(INDEX(#REF!,MATCH($H181,#REF!),MATCH(I181,#REF!)),30)</f>
        <v>#REF!</v>
      </c>
      <c r="O181" s="517">
        <v>117813</v>
      </c>
      <c r="P181" s="518">
        <f t="shared" si="38"/>
        <v>121642</v>
      </c>
      <c r="Q181" s="195" t="s">
        <v>358</v>
      </c>
      <c r="S181" s="194" t="s">
        <v>360</v>
      </c>
      <c r="T181" s="194"/>
    </row>
    <row r="182" spans="1:20">
      <c r="A182" s="194" t="e">
        <f>#REF!</f>
        <v>#REF!</v>
      </c>
      <c r="B182" s="195" t="e">
        <f t="shared" si="28"/>
        <v>#REF!</v>
      </c>
      <c r="C182" s="194" t="s">
        <v>357</v>
      </c>
      <c r="D182" s="512" t="e" cm="1">
        <f t="array" aca="1" ref="D182" ca="1">RIGHT(INDIRECT(ADDRESS(6,2,,,$A182)),6)</f>
        <v>#REF!</v>
      </c>
      <c r="E182" s="194" t="e" cm="1">
        <f t="array" aca="1" ref="E182" ca="1">RIGHT(INDIRECT(ADDRESS(4,2,,,$A182)),5)</f>
        <v>#REF!</v>
      </c>
      <c r="F182" s="513">
        <v>1.0335000000000001</v>
      </c>
      <c r="G182" s="513">
        <f t="shared" si="29"/>
        <v>1.0325</v>
      </c>
      <c r="H182" s="514">
        <v>4</v>
      </c>
      <c r="I182" s="514">
        <v>3</v>
      </c>
      <c r="J182" s="515"/>
      <c r="K182" s="515"/>
      <c r="L182" s="515"/>
      <c r="M182" s="515"/>
      <c r="N182" s="516" t="e">
        <f>LEFT(INDEX(#REF!,MATCH($H182,#REF!),MATCH(I182,#REF!)),30)</f>
        <v>#REF!</v>
      </c>
      <c r="O182" s="517">
        <v>42696</v>
      </c>
      <c r="P182" s="518">
        <f t="shared" si="38"/>
        <v>44084</v>
      </c>
      <c r="Q182" s="195" t="s">
        <v>358</v>
      </c>
      <c r="S182" s="194" t="s">
        <v>360</v>
      </c>
      <c r="T182" s="194"/>
    </row>
    <row r="183" spans="1:20">
      <c r="A183" s="194" t="e">
        <f>#REF!</f>
        <v>#REF!</v>
      </c>
      <c r="B183" s="195" t="e">
        <f t="shared" si="28"/>
        <v>#REF!</v>
      </c>
      <c r="C183" s="194" t="s">
        <v>357</v>
      </c>
      <c r="D183" s="512" t="e" cm="1">
        <f t="array" aca="1" ref="D183" ca="1">RIGHT(INDIRECT(ADDRESS(6,2,,,$A183)),6)</f>
        <v>#REF!</v>
      </c>
      <c r="E183" s="194" t="e" cm="1">
        <f t="array" aca="1" ref="E183" ca="1">RIGHT(INDIRECT(ADDRESS(4,2,,,$A183)),5)</f>
        <v>#REF!</v>
      </c>
      <c r="F183" s="513">
        <v>1.0335000000000001</v>
      </c>
      <c r="G183" s="513">
        <f t="shared" si="29"/>
        <v>1.0325</v>
      </c>
      <c r="H183" s="514">
        <v>5</v>
      </c>
      <c r="I183" s="514">
        <v>3</v>
      </c>
      <c r="J183" s="515"/>
      <c r="K183" s="515"/>
      <c r="L183" s="515"/>
      <c r="M183" s="515"/>
      <c r="N183" s="516" t="e">
        <f>LEFT(INDEX(#REF!,MATCH($H183,#REF!),MATCH(I183,#REF!)),30)</f>
        <v>#REF!</v>
      </c>
      <c r="O183" s="517">
        <v>2474</v>
      </c>
      <c r="P183" s="518">
        <f t="shared" si="38"/>
        <v>2554</v>
      </c>
      <c r="Q183" s="195" t="s">
        <v>358</v>
      </c>
      <c r="S183" s="194" t="s">
        <v>360</v>
      </c>
      <c r="T183" s="194"/>
    </row>
    <row r="184" spans="1:20">
      <c r="A184" s="194" t="e">
        <f>#REF!</f>
        <v>#REF!</v>
      </c>
      <c r="B184" s="195" t="e">
        <f t="shared" si="28"/>
        <v>#REF!</v>
      </c>
      <c r="C184" s="194" t="s">
        <v>357</v>
      </c>
      <c r="D184" s="512" t="e" cm="1">
        <f t="array" aca="1" ref="D184" ca="1">RIGHT(INDIRECT(ADDRESS(6,2,,,$A184)),6)</f>
        <v>#REF!</v>
      </c>
      <c r="E184" s="194" t="e" cm="1">
        <f t="array" aca="1" ref="E184" ca="1">RIGHT(INDIRECT(ADDRESS(4,2,,,$A184)),5)</f>
        <v>#REF!</v>
      </c>
      <c r="F184" s="513">
        <v>1.0335000000000001</v>
      </c>
      <c r="G184" s="513">
        <f t="shared" si="29"/>
        <v>1.0325</v>
      </c>
      <c r="H184" s="514">
        <v>6</v>
      </c>
      <c r="I184" s="514">
        <v>3</v>
      </c>
      <c r="J184" s="515"/>
      <c r="K184" s="515"/>
      <c r="L184" s="515"/>
      <c r="M184" s="515"/>
      <c r="N184" s="516" t="e">
        <f>LEFT(INDEX(#REF!,MATCH($H184,#REF!),MATCH(I184,#REF!)),30)</f>
        <v>#REF!</v>
      </c>
      <c r="O184" s="517">
        <v>7263.18</v>
      </c>
      <c r="P184" s="518">
        <f>O184</f>
        <v>7263.18</v>
      </c>
      <c r="Q184" s="195" t="s">
        <v>354</v>
      </c>
      <c r="S184" s="194" t="s">
        <v>360</v>
      </c>
      <c r="T184" s="194"/>
    </row>
    <row r="185" spans="1:20">
      <c r="A185" s="194" t="e">
        <f>#REF!</f>
        <v>#REF!</v>
      </c>
      <c r="B185" s="195" t="e">
        <f t="shared" si="28"/>
        <v>#REF!</v>
      </c>
      <c r="C185" s="194" t="s">
        <v>357</v>
      </c>
      <c r="D185" s="512" t="e" cm="1">
        <f t="array" aca="1" ref="D185" ca="1">RIGHT(INDIRECT(ADDRESS(6,2,,,$A185)),6)</f>
        <v>#REF!</v>
      </c>
      <c r="E185" s="194" t="e" cm="1">
        <f t="array" aca="1" ref="E185" ca="1">RIGHT(INDIRECT(ADDRESS(4,2,,,$A185)),5)</f>
        <v>#REF!</v>
      </c>
      <c r="F185" s="513">
        <v>1.0335000000000001</v>
      </c>
      <c r="G185" s="513">
        <f t="shared" si="29"/>
        <v>1.0325</v>
      </c>
      <c r="H185" s="514">
        <v>1</v>
      </c>
      <c r="I185" s="514">
        <v>3</v>
      </c>
      <c r="J185" s="515">
        <v>4</v>
      </c>
      <c r="K185" s="515"/>
      <c r="L185" s="515" t="s">
        <v>350</v>
      </c>
      <c r="M185" s="515" t="s">
        <v>351</v>
      </c>
      <c r="N185" s="516" t="e">
        <f>LEFT(INDEX(#REF!,MATCH($H185,#REF!),MATCH(I185,#REF!)),30)</f>
        <v>#REF!</v>
      </c>
      <c r="O185" s="517">
        <v>10070</v>
      </c>
      <c r="P185" s="518">
        <f t="shared" ref="P185:P189" si="39">ROUND(O185*$G$2,0)</f>
        <v>10397</v>
      </c>
      <c r="Q185" s="195" t="s">
        <v>361</v>
      </c>
      <c r="S185" s="194" t="s">
        <v>362</v>
      </c>
      <c r="T185" s="194"/>
    </row>
    <row r="186" spans="1:20">
      <c r="A186" s="194" t="e">
        <f>#REF!</f>
        <v>#REF!</v>
      </c>
      <c r="B186" s="195" t="e">
        <f t="shared" si="28"/>
        <v>#REF!</v>
      </c>
      <c r="C186" s="194" t="s">
        <v>357</v>
      </c>
      <c r="D186" s="512" t="e" cm="1">
        <f t="array" aca="1" ref="D186" ca="1">RIGHT(INDIRECT(ADDRESS(6,2,,,$A186)),6)</f>
        <v>#REF!</v>
      </c>
      <c r="E186" s="194" t="e" cm="1">
        <f t="array" aca="1" ref="E186" ca="1">RIGHT(INDIRECT(ADDRESS(4,2,,,$A186)),5)</f>
        <v>#REF!</v>
      </c>
      <c r="F186" s="513">
        <v>1.0335000000000001</v>
      </c>
      <c r="G186" s="513">
        <f t="shared" si="29"/>
        <v>1.0325</v>
      </c>
      <c r="H186" s="514">
        <v>2</v>
      </c>
      <c r="I186" s="514">
        <v>3</v>
      </c>
      <c r="J186" s="515">
        <v>4</v>
      </c>
      <c r="K186" s="515"/>
      <c r="L186" s="515" t="s">
        <v>350</v>
      </c>
      <c r="M186" s="515" t="s">
        <v>351</v>
      </c>
      <c r="N186" s="516" t="e">
        <f>LEFT(INDEX(#REF!,MATCH($H186,#REF!),MATCH(I186,#REF!)),30)</f>
        <v>#REF!</v>
      </c>
      <c r="O186" s="517">
        <v>135874</v>
      </c>
      <c r="P186" s="518">
        <f t="shared" si="39"/>
        <v>140290</v>
      </c>
      <c r="Q186" s="195" t="s">
        <v>361</v>
      </c>
      <c r="S186" s="194" t="s">
        <v>362</v>
      </c>
      <c r="T186" s="194"/>
    </row>
    <row r="187" spans="1:20">
      <c r="A187" s="194" t="e">
        <f>#REF!</f>
        <v>#REF!</v>
      </c>
      <c r="B187" s="195" t="e">
        <f t="shared" si="28"/>
        <v>#REF!</v>
      </c>
      <c r="C187" s="194" t="s">
        <v>357</v>
      </c>
      <c r="D187" s="512" t="e" cm="1">
        <f t="array" aca="1" ref="D187" ca="1">RIGHT(INDIRECT(ADDRESS(6,2,,,$A187)),6)</f>
        <v>#REF!</v>
      </c>
      <c r="E187" s="194" t="e" cm="1">
        <f t="array" aca="1" ref="E187" ca="1">RIGHT(INDIRECT(ADDRESS(4,2,,,$A187)),5)</f>
        <v>#REF!</v>
      </c>
      <c r="F187" s="513">
        <v>1.0335000000000001</v>
      </c>
      <c r="G187" s="513">
        <f t="shared" si="29"/>
        <v>1.0325</v>
      </c>
      <c r="H187" s="514">
        <v>3</v>
      </c>
      <c r="I187" s="514">
        <v>3</v>
      </c>
      <c r="J187" s="515">
        <v>4</v>
      </c>
      <c r="K187" s="515"/>
      <c r="L187" s="515" t="s">
        <v>350</v>
      </c>
      <c r="M187" s="515" t="s">
        <v>351</v>
      </c>
      <c r="N187" s="516" t="e">
        <f>LEFT(INDEX(#REF!,MATCH($H187,#REF!),MATCH(I187,#REF!)),30)</f>
        <v>#REF!</v>
      </c>
      <c r="O187" s="517">
        <v>111821</v>
      </c>
      <c r="P187" s="518">
        <f t="shared" si="39"/>
        <v>115455</v>
      </c>
      <c r="Q187" s="195" t="s">
        <v>361</v>
      </c>
      <c r="S187" s="194" t="s">
        <v>362</v>
      </c>
      <c r="T187" s="194"/>
    </row>
    <row r="188" spans="1:20">
      <c r="A188" s="194" t="e">
        <f>#REF!</f>
        <v>#REF!</v>
      </c>
      <c r="B188" s="195" t="e">
        <f t="shared" si="28"/>
        <v>#REF!</v>
      </c>
      <c r="C188" s="194" t="s">
        <v>357</v>
      </c>
      <c r="D188" s="512" t="e" cm="1">
        <f t="array" aca="1" ref="D188" ca="1">RIGHT(INDIRECT(ADDRESS(6,2,,,$A188)),6)</f>
        <v>#REF!</v>
      </c>
      <c r="E188" s="194" t="e" cm="1">
        <f t="array" aca="1" ref="E188" ca="1">RIGHT(INDIRECT(ADDRESS(4,2,,,$A188)),5)</f>
        <v>#REF!</v>
      </c>
      <c r="F188" s="513">
        <v>1.0335000000000001</v>
      </c>
      <c r="G188" s="513">
        <f t="shared" si="29"/>
        <v>1.0325</v>
      </c>
      <c r="H188" s="514">
        <v>4</v>
      </c>
      <c r="I188" s="514">
        <v>3</v>
      </c>
      <c r="J188" s="515">
        <v>4</v>
      </c>
      <c r="K188" s="515"/>
      <c r="L188" s="515" t="s">
        <v>350</v>
      </c>
      <c r="M188" s="515" t="s">
        <v>351</v>
      </c>
      <c r="N188" s="516" t="e">
        <f>LEFT(INDEX(#REF!,MATCH($H188,#REF!),MATCH(I188,#REF!)),30)</f>
        <v>#REF!</v>
      </c>
      <c r="O188" s="517">
        <v>30914</v>
      </c>
      <c r="P188" s="518">
        <f t="shared" si="39"/>
        <v>31919</v>
      </c>
      <c r="Q188" s="195" t="s">
        <v>361</v>
      </c>
      <c r="S188" s="194" t="s">
        <v>362</v>
      </c>
      <c r="T188" s="194"/>
    </row>
    <row r="189" spans="1:20">
      <c r="A189" s="194" t="e">
        <f>#REF!</f>
        <v>#REF!</v>
      </c>
      <c r="B189" s="195" t="e">
        <f t="shared" si="28"/>
        <v>#REF!</v>
      </c>
      <c r="C189" s="194" t="s">
        <v>357</v>
      </c>
      <c r="D189" s="512" t="e" cm="1">
        <f t="array" aca="1" ref="D189" ca="1">RIGHT(INDIRECT(ADDRESS(6,2,,,$A189)),6)</f>
        <v>#REF!</v>
      </c>
      <c r="E189" s="194" t="e" cm="1">
        <f t="array" aca="1" ref="E189" ca="1">RIGHT(INDIRECT(ADDRESS(4,2,,,$A189)),5)</f>
        <v>#REF!</v>
      </c>
      <c r="F189" s="513">
        <v>1.0335000000000001</v>
      </c>
      <c r="G189" s="513">
        <f t="shared" si="29"/>
        <v>1.0325</v>
      </c>
      <c r="H189" s="514">
        <v>5</v>
      </c>
      <c r="I189" s="514">
        <v>3</v>
      </c>
      <c r="J189" s="515">
        <v>4</v>
      </c>
      <c r="K189" s="515"/>
      <c r="L189" s="515" t="s">
        <v>350</v>
      </c>
      <c r="M189" s="515" t="s">
        <v>351</v>
      </c>
      <c r="N189" s="516" t="e">
        <f>LEFT(INDEX(#REF!,MATCH($H189,#REF!),MATCH(I189,#REF!)),30)</f>
        <v>#REF!</v>
      </c>
      <c r="O189" s="517">
        <v>2474</v>
      </c>
      <c r="P189" s="518">
        <f t="shared" si="39"/>
        <v>2554</v>
      </c>
      <c r="Q189" s="195" t="s">
        <v>361</v>
      </c>
      <c r="S189" s="194" t="s">
        <v>362</v>
      </c>
      <c r="T189" s="194"/>
    </row>
    <row r="190" spans="1:20">
      <c r="A190" s="194" t="e">
        <f>#REF!</f>
        <v>#REF!</v>
      </c>
      <c r="B190" s="195" t="e">
        <f t="shared" si="28"/>
        <v>#REF!</v>
      </c>
      <c r="C190" s="194" t="s">
        <v>357</v>
      </c>
      <c r="D190" s="512" t="e" cm="1">
        <f t="array" aca="1" ref="D190" ca="1">RIGHT(INDIRECT(ADDRESS(6,2,,,$A190)),6)</f>
        <v>#REF!</v>
      </c>
      <c r="E190" s="194" t="e" cm="1">
        <f t="array" aca="1" ref="E190" ca="1">RIGHT(INDIRECT(ADDRESS(4,2,,,$A190)),5)</f>
        <v>#REF!</v>
      </c>
      <c r="F190" s="513">
        <v>1.0335000000000001</v>
      </c>
      <c r="G190" s="513">
        <f t="shared" si="29"/>
        <v>1.0325</v>
      </c>
      <c r="H190" s="514">
        <v>6</v>
      </c>
      <c r="I190" s="514">
        <v>3</v>
      </c>
      <c r="J190" s="515"/>
      <c r="K190" s="515"/>
      <c r="L190" s="515"/>
      <c r="M190" s="515"/>
      <c r="N190" s="516" t="e">
        <f>LEFT(INDEX(#REF!,MATCH($H190,#REF!),MATCH(I190,#REF!)),30)</f>
        <v>#REF!</v>
      </c>
      <c r="O190" s="517">
        <v>7263.18</v>
      </c>
      <c r="P190" s="518">
        <f>O190</f>
        <v>7263.18</v>
      </c>
      <c r="Q190" s="195" t="s">
        <v>354</v>
      </c>
      <c r="S190" s="194" t="s">
        <v>362</v>
      </c>
      <c r="T190" s="194"/>
    </row>
    <row r="191" spans="1:20">
      <c r="A191" s="194" t="e">
        <f>#REF!</f>
        <v>#REF!</v>
      </c>
      <c r="B191" s="195" t="e">
        <f t="shared" si="28"/>
        <v>#REF!</v>
      </c>
      <c r="C191" s="194" t="s">
        <v>357</v>
      </c>
      <c r="D191" s="512" t="e" cm="1">
        <f t="array" aca="1" ref="D191" ca="1">RIGHT(INDIRECT(ADDRESS(6,2,,,$A191)),6)</f>
        <v>#REF!</v>
      </c>
      <c r="E191" s="194" t="e" cm="1">
        <f t="array" aca="1" ref="E191" ca="1">RIGHT(INDIRECT(ADDRESS(4,2,,,$A191)),5)</f>
        <v>#REF!</v>
      </c>
      <c r="F191" s="513">
        <v>1.0335000000000001</v>
      </c>
      <c r="G191" s="513">
        <f t="shared" si="29"/>
        <v>1.0325</v>
      </c>
      <c r="H191" s="514">
        <v>1</v>
      </c>
      <c r="I191" s="514">
        <v>3</v>
      </c>
      <c r="J191" s="515">
        <v>4</v>
      </c>
      <c r="K191" s="515"/>
      <c r="L191" s="515" t="s">
        <v>350</v>
      </c>
      <c r="M191" s="515" t="s">
        <v>351</v>
      </c>
      <c r="N191" s="516" t="e">
        <f>LEFT(INDEX(#REF!,MATCH($H191,#REF!),MATCH(I191,#REF!)),30)</f>
        <v>#REF!</v>
      </c>
      <c r="O191" s="517">
        <v>10884</v>
      </c>
      <c r="P191" s="518">
        <f t="shared" ref="P191:P195" si="40">ROUND(O191*$G$2,0)</f>
        <v>11238</v>
      </c>
      <c r="Q191" s="195" t="s">
        <v>361</v>
      </c>
      <c r="S191" s="194" t="s">
        <v>363</v>
      </c>
      <c r="T191" s="194"/>
    </row>
    <row r="192" spans="1:20">
      <c r="A192" s="194" t="e">
        <f>#REF!</f>
        <v>#REF!</v>
      </c>
      <c r="B192" s="195" t="e">
        <f t="shared" si="28"/>
        <v>#REF!</v>
      </c>
      <c r="C192" s="194" t="s">
        <v>357</v>
      </c>
      <c r="D192" s="512" t="e" cm="1">
        <f t="array" aca="1" ref="D192" ca="1">RIGHT(INDIRECT(ADDRESS(6,2,,,$A192)),6)</f>
        <v>#REF!</v>
      </c>
      <c r="E192" s="194" t="e" cm="1">
        <f t="array" aca="1" ref="E192" ca="1">RIGHT(INDIRECT(ADDRESS(4,2,,,$A192)),5)</f>
        <v>#REF!</v>
      </c>
      <c r="F192" s="513">
        <v>1.0335000000000001</v>
      </c>
      <c r="G192" s="513">
        <f t="shared" si="29"/>
        <v>1.0325</v>
      </c>
      <c r="H192" s="514">
        <v>2</v>
      </c>
      <c r="I192" s="514">
        <v>3</v>
      </c>
      <c r="J192" s="515">
        <v>4</v>
      </c>
      <c r="K192" s="515"/>
      <c r="L192" s="515" t="s">
        <v>350</v>
      </c>
      <c r="M192" s="515" t="s">
        <v>351</v>
      </c>
      <c r="N192" s="516" t="e">
        <f>LEFT(INDEX(#REF!,MATCH($H192,#REF!),MATCH(I192,#REF!)),30)</f>
        <v>#REF!</v>
      </c>
      <c r="O192" s="517">
        <v>162314</v>
      </c>
      <c r="P192" s="518">
        <f t="shared" si="40"/>
        <v>167589</v>
      </c>
      <c r="Q192" s="195" t="s">
        <v>361</v>
      </c>
      <c r="S192" s="194" t="s">
        <v>363</v>
      </c>
      <c r="T192" s="194"/>
    </row>
    <row r="193" spans="1:20">
      <c r="A193" s="194" t="e">
        <f>#REF!</f>
        <v>#REF!</v>
      </c>
      <c r="B193" s="195" t="e">
        <f t="shared" si="28"/>
        <v>#REF!</v>
      </c>
      <c r="C193" s="194" t="s">
        <v>357</v>
      </c>
      <c r="D193" s="512" t="e" cm="1">
        <f t="array" aca="1" ref="D193" ca="1">RIGHT(INDIRECT(ADDRESS(6,2,,,$A193)),6)</f>
        <v>#REF!</v>
      </c>
      <c r="E193" s="194" t="e" cm="1">
        <f t="array" aca="1" ref="E193" ca="1">RIGHT(INDIRECT(ADDRESS(4,2,,,$A193)),5)</f>
        <v>#REF!</v>
      </c>
      <c r="F193" s="513">
        <v>1.0335000000000001</v>
      </c>
      <c r="G193" s="513">
        <f t="shared" si="29"/>
        <v>1.0325</v>
      </c>
      <c r="H193" s="514">
        <v>3</v>
      </c>
      <c r="I193" s="514">
        <v>3</v>
      </c>
      <c r="J193" s="515">
        <v>4</v>
      </c>
      <c r="K193" s="515"/>
      <c r="L193" s="515" t="s">
        <v>350</v>
      </c>
      <c r="M193" s="515" t="s">
        <v>351</v>
      </c>
      <c r="N193" s="516" t="e">
        <f>LEFT(INDEX(#REF!,MATCH($H193,#REF!),MATCH(I193,#REF!)),30)</f>
        <v>#REF!</v>
      </c>
      <c r="O193" s="517">
        <v>123458</v>
      </c>
      <c r="P193" s="518">
        <f t="shared" si="40"/>
        <v>127470</v>
      </c>
      <c r="Q193" s="195" t="s">
        <v>361</v>
      </c>
      <c r="S193" s="194" t="s">
        <v>363</v>
      </c>
      <c r="T193" s="194"/>
    </row>
    <row r="194" spans="1:20">
      <c r="A194" s="194" t="e">
        <f>#REF!</f>
        <v>#REF!</v>
      </c>
      <c r="B194" s="195" t="e">
        <f t="shared" si="28"/>
        <v>#REF!</v>
      </c>
      <c r="C194" s="194" t="s">
        <v>357</v>
      </c>
      <c r="D194" s="512" t="e" cm="1">
        <f t="array" aca="1" ref="D194" ca="1">RIGHT(INDIRECT(ADDRESS(6,2,,,$A194)),6)</f>
        <v>#REF!</v>
      </c>
      <c r="E194" s="194" t="e" cm="1">
        <f t="array" aca="1" ref="E194" ca="1">RIGHT(INDIRECT(ADDRESS(4,2,,,$A194)),5)</f>
        <v>#REF!</v>
      </c>
      <c r="F194" s="513">
        <v>1.0335000000000001</v>
      </c>
      <c r="G194" s="513">
        <f t="shared" si="29"/>
        <v>1.0325</v>
      </c>
      <c r="H194" s="514">
        <v>4</v>
      </c>
      <c r="I194" s="514">
        <v>3</v>
      </c>
      <c r="J194" s="515">
        <v>4</v>
      </c>
      <c r="K194" s="515"/>
      <c r="L194" s="515" t="s">
        <v>350</v>
      </c>
      <c r="M194" s="515" t="s">
        <v>351</v>
      </c>
      <c r="N194" s="516" t="e">
        <f>LEFT(INDEX(#REF!,MATCH($H194,#REF!),MATCH(I194,#REF!)),30)</f>
        <v>#REF!</v>
      </c>
      <c r="O194" s="517">
        <v>26861</v>
      </c>
      <c r="P194" s="518">
        <f t="shared" si="40"/>
        <v>27734</v>
      </c>
      <c r="Q194" s="195" t="s">
        <v>361</v>
      </c>
      <c r="S194" s="194" t="s">
        <v>363</v>
      </c>
      <c r="T194" s="194"/>
    </row>
    <row r="195" spans="1:20">
      <c r="A195" s="194" t="e">
        <f>#REF!</f>
        <v>#REF!</v>
      </c>
      <c r="B195" s="195" t="e">
        <f t="shared" si="28"/>
        <v>#REF!</v>
      </c>
      <c r="C195" s="194" t="s">
        <v>357</v>
      </c>
      <c r="D195" s="512" t="e" cm="1">
        <f t="array" aca="1" ref="D195" ca="1">RIGHT(INDIRECT(ADDRESS(6,2,,,$A195)),6)</f>
        <v>#REF!</v>
      </c>
      <c r="E195" s="194" t="e" cm="1">
        <f t="array" aca="1" ref="E195" ca="1">RIGHT(INDIRECT(ADDRESS(4,2,,,$A195)),5)</f>
        <v>#REF!</v>
      </c>
      <c r="F195" s="513">
        <v>1.0335000000000001</v>
      </c>
      <c r="G195" s="513">
        <f t="shared" si="29"/>
        <v>1.0325</v>
      </c>
      <c r="H195" s="514">
        <v>5</v>
      </c>
      <c r="I195" s="514">
        <v>3</v>
      </c>
      <c r="J195" s="515">
        <v>4</v>
      </c>
      <c r="K195" s="515"/>
      <c r="L195" s="515" t="s">
        <v>350</v>
      </c>
      <c r="M195" s="515" t="s">
        <v>351</v>
      </c>
      <c r="N195" s="516" t="e">
        <f>LEFT(INDEX(#REF!,MATCH($H195,#REF!),MATCH(I195,#REF!)),30)</f>
        <v>#REF!</v>
      </c>
      <c r="O195" s="517">
        <v>2474</v>
      </c>
      <c r="P195" s="518">
        <f t="shared" si="40"/>
        <v>2554</v>
      </c>
      <c r="Q195" s="195" t="s">
        <v>361</v>
      </c>
      <c r="S195" s="194" t="s">
        <v>363</v>
      </c>
      <c r="T195" s="194"/>
    </row>
    <row r="196" spans="1:20">
      <c r="A196" s="194" t="e">
        <f>#REF!</f>
        <v>#REF!</v>
      </c>
      <c r="B196" s="195" t="e">
        <f t="shared" si="28"/>
        <v>#REF!</v>
      </c>
      <c r="C196" s="194" t="s">
        <v>357</v>
      </c>
      <c r="D196" s="512" t="e" cm="1">
        <f t="array" aca="1" ref="D196" ca="1">RIGHT(INDIRECT(ADDRESS(6,2,,,$A196)),6)</f>
        <v>#REF!</v>
      </c>
      <c r="E196" s="194" t="e" cm="1">
        <f t="array" aca="1" ref="E196" ca="1">RIGHT(INDIRECT(ADDRESS(4,2,,,$A196)),5)</f>
        <v>#REF!</v>
      </c>
      <c r="F196" s="513">
        <v>1.0335000000000001</v>
      </c>
      <c r="G196" s="513">
        <f t="shared" si="29"/>
        <v>1.0325</v>
      </c>
      <c r="H196" s="514">
        <v>6</v>
      </c>
      <c r="I196" s="514">
        <v>3</v>
      </c>
      <c r="J196" s="515">
        <v>4</v>
      </c>
      <c r="K196" s="515"/>
      <c r="L196" s="515" t="s">
        <v>350</v>
      </c>
      <c r="M196" s="515" t="s">
        <v>351</v>
      </c>
      <c r="N196" s="516" t="e">
        <f>LEFT(INDEX(#REF!,MATCH($H196,#REF!),MATCH(I196,#REF!)),30)</f>
        <v>#REF!</v>
      </c>
      <c r="O196" s="517">
        <v>7263.18</v>
      </c>
      <c r="P196" s="518">
        <f>O196</f>
        <v>7263.18</v>
      </c>
      <c r="Q196" s="195" t="s">
        <v>354</v>
      </c>
      <c r="S196" s="194" t="s">
        <v>363</v>
      </c>
      <c r="T196" s="194"/>
    </row>
    <row r="197" spans="1:20">
      <c r="A197" s="1" t="e">
        <f ca="1">'2026_CITYHOPE_BMT_AUT_ADULT'!$A$1</f>
        <v>#VALUE!</v>
      </c>
      <c r="B197" s="535">
        <v>1</v>
      </c>
      <c r="C197" s="1" t="s">
        <v>364</v>
      </c>
      <c r="D197" s="4" t="e" cm="1">
        <f t="array" aca="1" ref="D197" ca="1">RIGHT(INDIRECT(ADDRESS(6,2,,,$A197)),6)</f>
        <v>#VALUE!</v>
      </c>
      <c r="E197" s="1" t="e" cm="1">
        <f t="array" aca="1" ref="E197" ca="1">RIGHT(INDIRECT(ADDRESS(4,2,,,$A197)),5)</f>
        <v>#VALUE!</v>
      </c>
      <c r="F197" s="22">
        <v>1.0335000000000001</v>
      </c>
      <c r="G197" s="22">
        <f t="shared" ref="G197:G260" si="41">$G$2</f>
        <v>1.0325</v>
      </c>
      <c r="H197" s="7">
        <v>1</v>
      </c>
      <c r="I197" s="7">
        <v>3</v>
      </c>
      <c r="J197" s="26">
        <v>4</v>
      </c>
      <c r="K197" s="26"/>
      <c r="L197" s="26" t="s">
        <v>350</v>
      </c>
      <c r="M197" s="26" t="s">
        <v>351</v>
      </c>
      <c r="N197" s="9" t="str">
        <f>LEFT(INDEX('2026_CITYHOPE_BMT_AUT_ADULT'!$A$1:$E$30,MATCH($H197,'2026_CITYHOPE_BMT_AUT_ADULT'!$A$1:$A$30),MATCH(I197,'2026_CITYHOPE_BMT_AUT_ADULT'!$A$1:$D$1)),30)</f>
        <v>OUTPATIENT EVALUATION* - Initi</v>
      </c>
      <c r="O197" s="16">
        <v>6304</v>
      </c>
      <c r="P197" s="507">
        <f t="shared" ref="P197:P230" si="42">ROUND(O197*$G$2,0)</f>
        <v>6509</v>
      </c>
    </row>
    <row r="198" spans="1:20">
      <c r="A198" s="1" t="e">
        <f ca="1">'2026_CITYHOPE_BMT_AUT_ADULT'!$A$1</f>
        <v>#VALUE!</v>
      </c>
      <c r="B198" s="14" t="e">
        <f t="shared" ref="B198:B288" ca="1" si="43">IF(A198=A197,0,1)</f>
        <v>#VALUE!</v>
      </c>
      <c r="C198" s="1" t="s">
        <v>364</v>
      </c>
      <c r="D198" s="4" t="e" cm="1">
        <f t="array" aca="1" ref="D198" ca="1">RIGHT(INDIRECT(ADDRESS(6,2,,,$A198)),6)</f>
        <v>#VALUE!</v>
      </c>
      <c r="E198" s="1" t="e" cm="1">
        <f t="array" aca="1" ref="E198" ca="1">RIGHT(INDIRECT(ADDRESS(4,2,,,$A198)),5)</f>
        <v>#VALUE!</v>
      </c>
      <c r="F198" s="22">
        <v>1.0335000000000001</v>
      </c>
      <c r="G198" s="22">
        <f t="shared" si="41"/>
        <v>1.0325</v>
      </c>
      <c r="H198" s="7">
        <v>2</v>
      </c>
      <c r="I198" s="7">
        <v>3</v>
      </c>
      <c r="J198" s="26">
        <v>4</v>
      </c>
      <c r="K198" s="26"/>
      <c r="L198" s="26" t="s">
        <v>350</v>
      </c>
      <c r="M198" s="26" t="s">
        <v>351</v>
      </c>
      <c r="N198" s="9" t="str">
        <f>LEFT(INDEX('2026_CITYHOPE_BMT_AUT_ADULT'!$A$1:$E$30,MATCH($H198,'2026_CITYHOPE_BMT_AUT_ADULT'!$A$1:$A$30),MATCH(I198,'2026_CITYHOPE_BMT_AUT_ADULT'!$A$1:$D$1)),30)</f>
        <v>AUTOLOGOUS HARVEST</v>
      </c>
      <c r="O198" s="16">
        <v>15603</v>
      </c>
      <c r="P198" s="507">
        <f t="shared" si="42"/>
        <v>16110</v>
      </c>
    </row>
    <row r="199" spans="1:20">
      <c r="A199" s="1" t="e">
        <f ca="1">'2026_CITYHOPE_BMT_AUT_ADULT'!$A$1</f>
        <v>#VALUE!</v>
      </c>
      <c r="B199" s="14" t="e">
        <f t="shared" ca="1" si="43"/>
        <v>#VALUE!</v>
      </c>
      <c r="C199" s="1" t="s">
        <v>364</v>
      </c>
      <c r="D199" s="4" t="e" cm="1">
        <f t="array" aca="1" ref="D199" ca="1">RIGHT(INDIRECT(ADDRESS(6,2,,,$A199)),6)</f>
        <v>#VALUE!</v>
      </c>
      <c r="E199" s="1" t="e" cm="1">
        <f t="array" aca="1" ref="E199" ca="1">RIGHT(INDIRECT(ADDRESS(4,2,,,$A199)),5)</f>
        <v>#VALUE!</v>
      </c>
      <c r="F199" s="22">
        <v>1.0335000000000001</v>
      </c>
      <c r="G199" s="22">
        <f t="shared" si="41"/>
        <v>1.0325</v>
      </c>
      <c r="H199" s="7">
        <v>3</v>
      </c>
      <c r="I199" s="7">
        <v>3</v>
      </c>
      <c r="J199" s="26">
        <v>4</v>
      </c>
      <c r="K199" s="26"/>
      <c r="L199" s="26" t="s">
        <v>350</v>
      </c>
      <c r="M199" s="26" t="s">
        <v>351</v>
      </c>
      <c r="N199" s="9" t="str">
        <f>LEFT(INDEX('2026_CITYHOPE_BMT_AUT_ADULT'!$A$1:$E$30,MATCH($H199,'2026_CITYHOPE_BMT_AUT_ADULT'!$A$1:$A$30),MATCH(I199,'2026_CITYHOPE_BMT_AUT_ADULT'!$A$1:$D$1)),30)</f>
        <v>PREP AND TRANSPLANT</v>
      </c>
      <c r="O199" s="16">
        <v>117013</v>
      </c>
      <c r="P199" s="507">
        <f t="shared" si="42"/>
        <v>120816</v>
      </c>
    </row>
    <row r="200" spans="1:20">
      <c r="A200" s="1" t="e">
        <f ca="1">'2026_CITYHOPE_BMT_AUT_ADULT'!$A$1</f>
        <v>#VALUE!</v>
      </c>
      <c r="B200" s="14" t="e">
        <f t="shared" ca="1" si="43"/>
        <v>#VALUE!</v>
      </c>
      <c r="C200" s="1" t="s">
        <v>364</v>
      </c>
      <c r="D200" s="4" t="e" cm="1">
        <f t="array" aca="1" ref="D200" ca="1">RIGHT(INDIRECT(ADDRESS(6,2,,,$A200)),6)</f>
        <v>#VALUE!</v>
      </c>
      <c r="E200" s="1" t="e" cm="1">
        <f t="array" aca="1" ref="E200" ca="1">RIGHT(INDIRECT(ADDRESS(4,2,,,$A200)),5)</f>
        <v>#VALUE!</v>
      </c>
      <c r="F200" s="22">
        <v>1.0335000000000001</v>
      </c>
      <c r="G200" s="22">
        <f t="shared" si="41"/>
        <v>1.0325</v>
      </c>
      <c r="H200" s="7">
        <v>4</v>
      </c>
      <c r="I200" s="7">
        <v>3</v>
      </c>
      <c r="J200" s="26">
        <v>4</v>
      </c>
      <c r="K200" s="26"/>
      <c r="L200" s="26" t="s">
        <v>350</v>
      </c>
      <c r="M200" s="26" t="s">
        <v>351</v>
      </c>
      <c r="N200" s="9" t="str">
        <f>LEFT(INDEX('2026_CITYHOPE_BMT_AUT_ADULT'!$A$1:$E$30,MATCH($H200,'2026_CITYHOPE_BMT_AUT_ADULT'!$A$1:$A$30),MATCH(I200,'2026_CITYHOPE_BMT_AUT_ADULT'!$A$1:$D$1)),30)</f>
        <v>FOLLOW UP CARE - From day 1 po</v>
      </c>
      <c r="O200" s="16">
        <v>29644</v>
      </c>
      <c r="P200" s="507">
        <f t="shared" si="42"/>
        <v>30607</v>
      </c>
    </row>
    <row r="201" spans="1:20">
      <c r="A201" s="1" t="e">
        <f ca="1">'2026_CITYHOPE_BMT_AUT_ADULT'!$A$1</f>
        <v>#VALUE!</v>
      </c>
      <c r="B201" s="14" t="e">
        <f t="shared" ca="1" si="43"/>
        <v>#VALUE!</v>
      </c>
      <c r="C201" s="1" t="s">
        <v>364</v>
      </c>
      <c r="D201" s="4" t="e" cm="1">
        <f t="array" aca="1" ref="D201" ca="1">RIGHT(INDIRECT(ADDRESS(6,2,,,$A201)),6)</f>
        <v>#VALUE!</v>
      </c>
      <c r="E201" s="1" t="e" cm="1">
        <f t="array" aca="1" ref="E201" ca="1">RIGHT(INDIRECT(ADDRESS(4,2,,,$A201)),5)</f>
        <v>#VALUE!</v>
      </c>
      <c r="F201" s="22">
        <v>1.0335000000000001</v>
      </c>
      <c r="G201" s="22">
        <f t="shared" si="41"/>
        <v>1.0325</v>
      </c>
      <c r="H201" s="7">
        <v>5</v>
      </c>
      <c r="I201" s="7">
        <v>3</v>
      </c>
      <c r="J201" s="26">
        <v>4</v>
      </c>
      <c r="K201" s="26"/>
      <c r="L201" s="26" t="s">
        <v>350</v>
      </c>
      <c r="M201" s="26" t="s">
        <v>351</v>
      </c>
      <c r="N201" s="9" t="str">
        <f>LEFT(INDEX('2026_CITYHOPE_BMT_AUT_ADULT'!$A$1:$E$30,MATCH($H201,'2026_CITYHOPE_BMT_AUT_ADULT'!$A$1:$A$30),MATCH(I201,'2026_CITYHOPE_BMT_AUT_ADULT'!$A$1:$D$1)),30)</f>
        <v xml:space="preserve">FOLLOW UP CARE - From day 31  </v>
      </c>
      <c r="O201" s="16">
        <v>10922</v>
      </c>
      <c r="P201" s="507">
        <f t="shared" si="42"/>
        <v>11277</v>
      </c>
    </row>
    <row r="202" spans="1:20">
      <c r="A202" s="1" t="e">
        <f ca="1">'2026_CITYHOPE_BMT_AUT_ADULT'!$A$1</f>
        <v>#VALUE!</v>
      </c>
      <c r="B202" s="14" t="e">
        <f t="shared" ca="1" si="43"/>
        <v>#VALUE!</v>
      </c>
      <c r="C202" s="1" t="s">
        <v>364</v>
      </c>
      <c r="D202" s="4" t="e" cm="1">
        <f t="array" aca="1" ref="D202" ca="1">RIGHT(INDIRECT(ADDRESS(6,2,,,$A202)),6)</f>
        <v>#VALUE!</v>
      </c>
      <c r="E202" s="1" t="e" cm="1">
        <f t="array" aca="1" ref="E202" ca="1">RIGHT(INDIRECT(ADDRESS(4,2,,,$A202)),5)</f>
        <v>#VALUE!</v>
      </c>
      <c r="F202" s="22">
        <v>1.0335000000000001</v>
      </c>
      <c r="G202" s="22">
        <f t="shared" si="41"/>
        <v>1.0325</v>
      </c>
      <c r="H202" s="7">
        <v>6</v>
      </c>
      <c r="I202" s="7">
        <v>3</v>
      </c>
      <c r="J202" s="26">
        <v>4</v>
      </c>
      <c r="K202" s="26"/>
      <c r="L202" s="26" t="s">
        <v>350</v>
      </c>
      <c r="M202" s="26" t="s">
        <v>351</v>
      </c>
      <c r="N202" s="9" t="str">
        <f>LEFT(INDEX('2026_CITYHOPE_BMT_AUT_ADULT'!$A$1:$E$30,MATCH($H202,'2026_CITYHOPE_BMT_AUT_ADULT'!$A$1:$A$30),MATCH(I202,'2026_CITYHOPE_BMT_AUT_ADULT'!$A$1:$D$1)),30)</f>
        <v xml:space="preserve">PER DIEM RATES for day 61+ of </v>
      </c>
      <c r="O202" s="16">
        <v>2474</v>
      </c>
      <c r="P202" s="507">
        <f t="shared" si="42"/>
        <v>2554</v>
      </c>
    </row>
    <row r="203" spans="1:20">
      <c r="A203" s="1" t="e">
        <f ca="1">'2026_CITYHOPE_BMT_AUT_ADULT'!$A$1</f>
        <v>#VALUE!</v>
      </c>
      <c r="B203" s="14" t="e">
        <f t="shared" ca="1" si="43"/>
        <v>#VALUE!</v>
      </c>
      <c r="C203" s="1" t="s">
        <v>364</v>
      </c>
      <c r="D203" s="4" t="e" cm="1">
        <f t="array" aca="1" ref="D203" ca="1">RIGHT(INDIRECT(ADDRESS(6,2,,,$A203)),6)</f>
        <v>#VALUE!</v>
      </c>
      <c r="E203" s="1" t="e" cm="1">
        <f t="array" aca="1" ref="E203" ca="1">RIGHT(INDIRECT(ADDRESS(4,2,,,$A203)),5)</f>
        <v>#VALUE!</v>
      </c>
      <c r="F203" s="22">
        <v>1.0335000000000001</v>
      </c>
      <c r="G203" s="22">
        <f t="shared" si="41"/>
        <v>1.0325</v>
      </c>
      <c r="H203" s="7">
        <v>7</v>
      </c>
      <c r="I203" s="7">
        <v>3</v>
      </c>
      <c r="J203" s="26">
        <v>4</v>
      </c>
      <c r="K203" s="26"/>
      <c r="L203" s="26" t="s">
        <v>350</v>
      </c>
      <c r="M203" s="26" t="s">
        <v>351</v>
      </c>
      <c r="N203" s="9" t="str">
        <f>LEFT(INDEX('2026_CITYHOPE_BMT_AUT_ADULT'!$A$1:$E$30,MATCH($H203,'2026_CITYHOPE_BMT_AUT_ADULT'!$A$1:$A$30),MATCH(I203,'2026_CITYHOPE_BMT_AUT_ADULT'!$A$1:$D$1)),30)</f>
        <v>Days 11+/61+ paid at the per d</v>
      </c>
      <c r="O203" s="16">
        <v>7263.18</v>
      </c>
      <c r="P203" s="509">
        <f>O203*$Q$2</f>
        <v>8014.1928120000002</v>
      </c>
      <c r="Q203" s="14" t="s">
        <v>352</v>
      </c>
    </row>
    <row r="204" spans="1:20">
      <c r="A204" s="1" t="e">
        <f ca="1">'2026_CITYHOPE_BMT_ALLO_UNREL_AD'!$A$1</f>
        <v>#VALUE!</v>
      </c>
      <c r="B204" s="14" t="e">
        <f t="shared" ca="1" si="43"/>
        <v>#VALUE!</v>
      </c>
      <c r="C204" s="1" t="s">
        <v>364</v>
      </c>
      <c r="D204" s="4" t="e" cm="1">
        <f t="array" aca="1" ref="D204" ca="1">RIGHT(INDIRECT(ADDRESS(6,2,,,$A204)),6)</f>
        <v>#VALUE!</v>
      </c>
      <c r="E204" s="1" t="e" cm="1">
        <f t="array" aca="1" ref="E204" ca="1">RIGHT(INDIRECT(ADDRESS(4,2,,,$A204)),5)</f>
        <v>#VALUE!</v>
      </c>
      <c r="F204" s="22"/>
      <c r="G204" s="22">
        <f t="shared" si="41"/>
        <v>1.0325</v>
      </c>
      <c r="H204" s="7">
        <v>1</v>
      </c>
      <c r="I204" s="7">
        <v>3</v>
      </c>
      <c r="J204" s="26"/>
      <c r="K204" s="26"/>
      <c r="L204" s="26"/>
      <c r="M204" s="26"/>
      <c r="N204" s="21" t="str">
        <f>LEFT(INDEX('2026_CITYHOPE_BMT_ALLO_UNREL_AD'!$A$1:$E$30,MATCH($H204,'2026_CITYHOPE_BMT_ALLO_UNREL_AD'!$A$1:$A$30),MATCH(I204,'2026_CITYHOPE_BMT_ALLO_UNREL_AD'!$A$1:$D$1)),30)</f>
        <v>OUTPATIENT EVALUATION* - Initi</v>
      </c>
      <c r="O204" s="16">
        <v>6583</v>
      </c>
      <c r="P204" s="510">
        <f t="shared" si="42"/>
        <v>6797</v>
      </c>
    </row>
    <row r="205" spans="1:20">
      <c r="A205" s="1" t="e">
        <f ca="1">'2026_CITYHOPE_BMT_ALLO_UNREL_AD'!$A$1</f>
        <v>#VALUE!</v>
      </c>
      <c r="B205" s="14" t="e">
        <f t="shared" ca="1" si="43"/>
        <v>#VALUE!</v>
      </c>
      <c r="C205" s="1" t="s">
        <v>364</v>
      </c>
      <c r="D205" s="4" t="e" cm="1">
        <f t="array" aca="1" ref="D205" ca="1">RIGHT(INDIRECT(ADDRESS(6,2,,,$A205)),6)</f>
        <v>#VALUE!</v>
      </c>
      <c r="E205" s="1" t="e" cm="1">
        <f t="array" aca="1" ref="E205" ca="1">RIGHT(INDIRECT(ADDRESS(4,2,,,$A205)),5)</f>
        <v>#VALUE!</v>
      </c>
      <c r="F205" s="22"/>
      <c r="G205" s="22">
        <f t="shared" si="41"/>
        <v>1.0325</v>
      </c>
      <c r="H205" s="7">
        <v>2</v>
      </c>
      <c r="I205" s="7">
        <v>3</v>
      </c>
      <c r="J205" s="26"/>
      <c r="K205" s="26"/>
      <c r="L205" s="26"/>
      <c r="M205" s="26"/>
      <c r="N205" s="21" t="str">
        <f>LEFT(INDEX('2026_CITYHOPE_BMT_ALLO_UNREL_AD'!$A$1:$E$30,MATCH($H205,'2026_CITYHOPE_BMT_ALLO_UNREL_AD'!$A$1:$A$30),MATCH(I205,'2026_CITYHOPE_BMT_ALLO_UNREL_AD'!$A$1:$D$1)),30)</f>
        <v>UNRELATED DONOR SEARCH</v>
      </c>
      <c r="O205" s="16">
        <v>11625</v>
      </c>
      <c r="P205" s="510">
        <f t="shared" si="42"/>
        <v>12003</v>
      </c>
    </row>
    <row r="206" spans="1:20">
      <c r="A206" s="1" t="e">
        <f ca="1">'2026_CITYHOPE_BMT_ALLO_UNREL_AD'!$A$1</f>
        <v>#VALUE!</v>
      </c>
      <c r="B206" s="14" t="e">
        <f t="shared" ca="1" si="43"/>
        <v>#VALUE!</v>
      </c>
      <c r="C206" s="1" t="s">
        <v>364</v>
      </c>
      <c r="D206" s="4" t="e" cm="1">
        <f t="array" aca="1" ref="D206" ca="1">RIGHT(INDIRECT(ADDRESS(6,2,,,$A206)),6)</f>
        <v>#VALUE!</v>
      </c>
      <c r="E206" s="1" t="e" cm="1">
        <f t="array" aca="1" ref="E206" ca="1">RIGHT(INDIRECT(ADDRESS(4,2,,,$A206)),5)</f>
        <v>#VALUE!</v>
      </c>
      <c r="F206" s="22"/>
      <c r="G206" s="22">
        <f t="shared" si="41"/>
        <v>1.0325</v>
      </c>
      <c r="H206" s="7">
        <v>3</v>
      </c>
      <c r="I206" s="7">
        <v>3</v>
      </c>
      <c r="J206" s="26"/>
      <c r="K206" s="26"/>
      <c r="L206" s="26"/>
      <c r="M206" s="26"/>
      <c r="N206" s="21" t="str">
        <f>LEFT(INDEX('2026_CITYHOPE_BMT_ALLO_UNREL_AD'!$A$1:$E$30,MATCH($H206,'2026_CITYHOPE_BMT_ALLO_UNREL_AD'!$A$1:$A$30),MATCH(I206,'2026_CITYHOPE_BMT_ALLO_UNREL_AD'!$A$1:$D$1)),30)</f>
        <v>DONOR HARVEST (includes stem c</v>
      </c>
      <c r="O206" s="16" t="s">
        <v>355</v>
      </c>
      <c r="P206" s="510" t="str">
        <f>O206</f>
        <v>NBMD or Cord blood Invoice Cost</v>
      </c>
      <c r="Q206" s="14" t="s">
        <v>354</v>
      </c>
    </row>
    <row r="207" spans="1:20">
      <c r="A207" s="1" t="e">
        <f ca="1">'2026_CITYHOPE_BMT_ALLO_UNREL_AD'!$A$1</f>
        <v>#VALUE!</v>
      </c>
      <c r="B207" s="14" t="e">
        <f t="shared" ca="1" si="43"/>
        <v>#VALUE!</v>
      </c>
      <c r="C207" s="1" t="s">
        <v>364</v>
      </c>
      <c r="D207" s="4" t="e" cm="1">
        <f t="array" aca="1" ref="D207" ca="1">RIGHT(INDIRECT(ADDRESS(6,2,,,$A207)),6)</f>
        <v>#VALUE!</v>
      </c>
      <c r="E207" s="1" t="e" cm="1">
        <f t="array" aca="1" ref="E207" ca="1">RIGHT(INDIRECT(ADDRESS(4,2,,,$A207)),5)</f>
        <v>#VALUE!</v>
      </c>
      <c r="F207" s="22"/>
      <c r="G207" s="22">
        <f t="shared" si="41"/>
        <v>1.0325</v>
      </c>
      <c r="H207" s="7">
        <v>4</v>
      </c>
      <c r="I207" s="7">
        <v>3</v>
      </c>
      <c r="J207" s="26"/>
      <c r="K207" s="26"/>
      <c r="L207" s="26"/>
      <c r="M207" s="26"/>
      <c r="N207" s="21" t="str">
        <f>LEFT(INDEX('2026_CITYHOPE_BMT_ALLO_UNREL_AD'!$A$1:$E$30,MATCH($H207,'2026_CITYHOPE_BMT_ALLO_UNREL_AD'!$A$1:$A$30),MATCH(I207,'2026_CITYHOPE_BMT_ALLO_UNREL_AD'!$A$1:$D$1)),30)</f>
        <v>PREP AND TRANSPLANT</v>
      </c>
      <c r="O207" s="16">
        <v>118000</v>
      </c>
      <c r="P207" s="510">
        <f t="shared" si="42"/>
        <v>121835</v>
      </c>
    </row>
    <row r="208" spans="1:20">
      <c r="A208" s="1" t="e">
        <f ca="1">'2026_CITYHOPE_BMT_ALLO_UNREL_AD'!$A$1</f>
        <v>#VALUE!</v>
      </c>
      <c r="B208" s="14" t="e">
        <f t="shared" ca="1" si="43"/>
        <v>#VALUE!</v>
      </c>
      <c r="C208" s="1" t="s">
        <v>364</v>
      </c>
      <c r="D208" s="4" t="e" cm="1">
        <f t="array" aca="1" ref="D208" ca="1">RIGHT(INDIRECT(ADDRESS(6,2,,,$A208)),6)</f>
        <v>#VALUE!</v>
      </c>
      <c r="E208" s="1" t="e" cm="1">
        <f t="array" aca="1" ref="E208" ca="1">RIGHT(INDIRECT(ADDRESS(4,2,,,$A208)),5)</f>
        <v>#VALUE!</v>
      </c>
      <c r="F208" s="22"/>
      <c r="G208" s="22">
        <f t="shared" si="41"/>
        <v>1.0325</v>
      </c>
      <c r="H208" s="7">
        <v>5</v>
      </c>
      <c r="I208" s="7">
        <v>3</v>
      </c>
      <c r="J208" s="26"/>
      <c r="K208" s="26"/>
      <c r="L208" s="26"/>
      <c r="M208" s="26"/>
      <c r="N208" s="21" t="str">
        <f>LEFT(INDEX('2026_CITYHOPE_BMT_ALLO_UNREL_AD'!$A$1:$E$30,MATCH($H208,'2026_CITYHOPE_BMT_ALLO_UNREL_AD'!$A$1:$A$30),MATCH(I208,'2026_CITYHOPE_BMT_ALLO_UNREL_AD'!$A$1:$D$1)),30)</f>
        <v>FOLLOW UP CARE - From day 1 po</v>
      </c>
      <c r="O208" s="16">
        <v>45000</v>
      </c>
      <c r="P208" s="510">
        <f t="shared" si="42"/>
        <v>46463</v>
      </c>
    </row>
    <row r="209" spans="1:17">
      <c r="A209" s="1" t="e">
        <f ca="1">'2026_CITYHOPE_BMT_ALLO_UNREL_AD'!$A$1</f>
        <v>#VALUE!</v>
      </c>
      <c r="B209" s="14" t="e">
        <f t="shared" ca="1" si="43"/>
        <v>#VALUE!</v>
      </c>
      <c r="C209" s="1" t="s">
        <v>364</v>
      </c>
      <c r="D209" s="4" t="e" cm="1">
        <f t="array" aca="1" ref="D209" ca="1">RIGHT(INDIRECT(ADDRESS(6,2,,,$A209)),6)</f>
        <v>#VALUE!</v>
      </c>
      <c r="E209" s="1" t="e" cm="1">
        <f t="array" aca="1" ref="E209" ca="1">RIGHT(INDIRECT(ADDRESS(4,2,,,$A209)),5)</f>
        <v>#VALUE!</v>
      </c>
      <c r="F209" s="22"/>
      <c r="G209" s="22">
        <f t="shared" si="41"/>
        <v>1.0325</v>
      </c>
      <c r="H209" s="7">
        <v>6</v>
      </c>
      <c r="I209" s="7">
        <v>3</v>
      </c>
      <c r="J209" s="26"/>
      <c r="K209" s="26"/>
      <c r="L209" s="26"/>
      <c r="M209" s="26"/>
      <c r="N209" s="21" t="str">
        <f>LEFT(INDEX('2026_CITYHOPE_BMT_ALLO_UNREL_AD'!$A$1:$E$30,MATCH($H209,'2026_CITYHOPE_BMT_ALLO_UNREL_AD'!$A$1:$A$30),MATCH(I209,'2026_CITYHOPE_BMT_ALLO_UNREL_AD'!$A$1:$D$1)),30)</f>
        <v xml:space="preserve">FOLLOW UP CARE - From day 31  </v>
      </c>
      <c r="O209" s="16">
        <v>33180</v>
      </c>
      <c r="P209" s="510">
        <f t="shared" si="42"/>
        <v>34258</v>
      </c>
    </row>
    <row r="210" spans="1:17">
      <c r="A210" s="1" t="e">
        <f ca="1">'2026_CITYHOPE_BMT_ALLO_UNREL_AD'!$A$1</f>
        <v>#VALUE!</v>
      </c>
      <c r="B210" s="14" t="e">
        <f t="shared" ca="1" si="43"/>
        <v>#VALUE!</v>
      </c>
      <c r="C210" s="1" t="s">
        <v>364</v>
      </c>
      <c r="D210" s="4" t="e" cm="1">
        <f t="array" aca="1" ref="D210" ca="1">RIGHT(INDIRECT(ADDRESS(6,2,,,$A210)),6)</f>
        <v>#VALUE!</v>
      </c>
      <c r="E210" s="1" t="e" cm="1">
        <f t="array" aca="1" ref="E210" ca="1">RIGHT(INDIRECT(ADDRESS(4,2,,,$A210)),5)</f>
        <v>#VALUE!</v>
      </c>
      <c r="F210" s="22"/>
      <c r="G210" s="22">
        <f t="shared" si="41"/>
        <v>1.0325</v>
      </c>
      <c r="H210" s="7">
        <v>7</v>
      </c>
      <c r="I210" s="7">
        <v>3</v>
      </c>
      <c r="J210" s="26"/>
      <c r="K210" s="26"/>
      <c r="L210" s="26"/>
      <c r="M210" s="26"/>
      <c r="N210" s="21" t="str">
        <f>LEFT(INDEX('2026_CITYHOPE_BMT_ALLO_UNREL_AD'!$A$1:$E$30,MATCH($H210,'2026_CITYHOPE_BMT_ALLO_UNREL_AD'!$A$1:$A$30),MATCH(I210,'2026_CITYHOPE_BMT_ALLO_UNREL_AD'!$A$1:$D$1)),30)</f>
        <v xml:space="preserve">PER DIEM RATES for day 61+ of </v>
      </c>
      <c r="O210" s="16">
        <v>2474</v>
      </c>
      <c r="P210" s="510">
        <f t="shared" si="42"/>
        <v>2554</v>
      </c>
    </row>
    <row r="211" spans="1:17">
      <c r="A211" s="1" t="e">
        <f ca="1">'2026_CITYHOPE_BMT_ALLO_UNREL_AD'!$A$1</f>
        <v>#VALUE!</v>
      </c>
      <c r="B211" s="14" t="e">
        <f t="shared" ca="1" si="43"/>
        <v>#VALUE!</v>
      </c>
      <c r="C211" s="1" t="s">
        <v>364</v>
      </c>
      <c r="D211" s="4" t="e" cm="1">
        <f t="array" aca="1" ref="D211" ca="1">RIGHT(INDIRECT(ADDRESS(6,2,,,$A211)),6)</f>
        <v>#VALUE!</v>
      </c>
      <c r="E211" s="1" t="e" cm="1">
        <f t="array" aca="1" ref="E211" ca="1">RIGHT(INDIRECT(ADDRESS(4,2,,,$A211)),5)</f>
        <v>#VALUE!</v>
      </c>
      <c r="F211" s="22"/>
      <c r="G211" s="22">
        <f t="shared" si="41"/>
        <v>1.0325</v>
      </c>
      <c r="H211" s="7">
        <v>8</v>
      </c>
      <c r="I211" s="7">
        <v>3</v>
      </c>
      <c r="J211" s="26"/>
      <c r="K211" s="26"/>
      <c r="L211" s="26"/>
      <c r="M211" s="26"/>
      <c r="N211" s="21" t="str">
        <f>LEFT(INDEX('2026_CITYHOPE_BMT_ALLO_UNREL_AD'!$A$1:$E$30,MATCH($H211,'2026_CITYHOPE_BMT_ALLO_UNREL_AD'!$A$1:$A$30),MATCH(I211,'2026_CITYHOPE_BMT_ALLO_UNREL_AD'!$A$1:$D$1)),30)</f>
        <v>Days 11+/61+ paid at the per d</v>
      </c>
      <c r="O211" s="16">
        <v>7263.18</v>
      </c>
      <c r="P211" s="509">
        <f>O211*$Q$2</f>
        <v>8014.1928120000002</v>
      </c>
      <c r="Q211" s="14" t="s">
        <v>352</v>
      </c>
    </row>
    <row r="212" spans="1:17">
      <c r="A212" s="1" t="e">
        <f ca="1">'2026_CITYHOPE_BMT_ALLO_UNREL_AD'!$A$1</f>
        <v>#VALUE!</v>
      </c>
      <c r="B212" s="14" t="e">
        <f t="shared" ca="1" si="43"/>
        <v>#VALUE!</v>
      </c>
      <c r="C212" s="1" t="s">
        <v>364</v>
      </c>
      <c r="D212" s="4" t="e" cm="1">
        <f t="array" aca="1" ref="D212" ca="1">RIGHT(INDIRECT(ADDRESS(6,2,,,$A212)),6)</f>
        <v>#VALUE!</v>
      </c>
      <c r="E212" s="1" t="e" cm="1">
        <f t="array" aca="1" ref="E212" ca="1">RIGHT(INDIRECT(ADDRESS(4,2,,,$A212)),5)</f>
        <v>#VALUE!</v>
      </c>
      <c r="F212" s="22"/>
      <c r="G212" s="22">
        <f t="shared" si="41"/>
        <v>1.0325</v>
      </c>
      <c r="H212" s="7">
        <v>9</v>
      </c>
      <c r="I212" s="7">
        <v>3</v>
      </c>
      <c r="J212" s="26"/>
      <c r="K212" s="26"/>
      <c r="L212" s="26"/>
      <c r="M212" s="26"/>
      <c r="N212" s="21" t="str">
        <f>LEFT(INDEX('2026_CITYHOPE_BMT_ALLO_UNREL_AD'!$A$1:$E$30,MATCH($H212,'2026_CITYHOPE_BMT_ALLO_UNREL_AD'!$A$1:$A$30),MATCH(I212,'2026_CITYHOPE_BMT_ALLO_UNREL_AD'!$A$1:$D$1)),30)</f>
        <v>Outliers: Matched unrelated al</v>
      </c>
      <c r="O212" s="16">
        <v>273200</v>
      </c>
      <c r="P212" s="510">
        <f t="shared" si="42"/>
        <v>282079</v>
      </c>
      <c r="Q212" s="14" t="s">
        <v>353</v>
      </c>
    </row>
    <row r="213" spans="1:17">
      <c r="A213" s="1" t="e">
        <f ca="1">'2026_CITYHOPE_BMT_ALLO_UNREL_AD'!$A$1</f>
        <v>#VALUE!</v>
      </c>
      <c r="B213" s="14" t="e">
        <f t="shared" ca="1" si="43"/>
        <v>#VALUE!</v>
      </c>
      <c r="C213" s="1" t="s">
        <v>364</v>
      </c>
      <c r="D213" s="4" t="e" cm="1">
        <f t="array" aca="1" ref="D213" ca="1">RIGHT(INDIRECT(ADDRESS(6,2,,,$A213)),6)</f>
        <v>#VALUE!</v>
      </c>
      <c r="E213" s="1" t="e" cm="1">
        <f t="array" aca="1" ref="E213" ca="1">RIGHT(INDIRECT(ADDRESS(4,2,,,$A213)),5)</f>
        <v>#VALUE!</v>
      </c>
      <c r="F213" s="22"/>
      <c r="G213" s="22">
        <f t="shared" si="41"/>
        <v>1.0325</v>
      </c>
      <c r="H213" s="7">
        <v>10</v>
      </c>
      <c r="I213" s="7">
        <v>3</v>
      </c>
      <c r="J213" s="26"/>
      <c r="K213" s="26"/>
      <c r="L213" s="26"/>
      <c r="M213" s="26"/>
      <c r="N213" s="21" t="str">
        <f>LEFT(INDEX('2026_CITYHOPE_BMT_ALLO_UNREL_AD'!$A$1:$E$30,MATCH($H213,'2026_CITYHOPE_BMT_ALLO_UNREL_AD'!$A$1:$A$30),MATCH(I213,'2026_CITYHOPE_BMT_ALLO_UNREL_AD'!$A$1:$D$1)),30)</f>
        <v>Rate Above Threshold</v>
      </c>
      <c r="O213" s="16">
        <v>0.5</v>
      </c>
      <c r="P213" s="510">
        <f>O213</f>
        <v>0.5</v>
      </c>
      <c r="Q213" s="14" t="s">
        <v>354</v>
      </c>
    </row>
    <row r="214" spans="1:17">
      <c r="A214" s="1" t="e">
        <f ca="1">'2026_CITYHOPE_BMT_ALLO_REL_ADUL'!$A$1</f>
        <v>#VALUE!</v>
      </c>
      <c r="B214" s="14" t="e">
        <f t="shared" ca="1" si="43"/>
        <v>#VALUE!</v>
      </c>
      <c r="C214" s="1" t="s">
        <v>364</v>
      </c>
      <c r="D214" s="4" t="e" cm="1">
        <f t="array" aca="1" ref="D214" ca="1">RIGHT(INDIRECT(ADDRESS(6,2,,,$A214)),6)</f>
        <v>#VALUE!</v>
      </c>
      <c r="E214" s="1" t="e" cm="1">
        <f t="array" aca="1" ref="E214" ca="1">RIGHT(INDIRECT(ADDRESS(4,2,,,$A214)),5)</f>
        <v>#VALUE!</v>
      </c>
      <c r="F214" s="22"/>
      <c r="G214" s="22">
        <f t="shared" si="41"/>
        <v>1.0325</v>
      </c>
      <c r="H214" s="7">
        <v>1</v>
      </c>
      <c r="I214" s="7">
        <v>3</v>
      </c>
      <c r="J214" s="26"/>
      <c r="K214" s="26"/>
      <c r="L214" s="26"/>
      <c r="M214" s="26"/>
      <c r="N214" s="21" t="str">
        <f>LEFT(INDEX('2026_CITYHOPE_BMT_ALLO_REL_ADUL'!$A$1:$E$30,MATCH($H214,'2026_CITYHOPE_BMT_ALLO_REL_ADUL'!$A$1:$A$30),MATCH(I214,'2026_CITYHOPE_BMT_ALLO_REL_ADUL'!$A$1:$D$1)),30)</f>
        <v>OUTPATIENT EVALUATION* - Initi</v>
      </c>
      <c r="O214" s="16">
        <v>6348</v>
      </c>
      <c r="P214" s="510">
        <f t="shared" si="42"/>
        <v>6554</v>
      </c>
    </row>
    <row r="215" spans="1:17">
      <c r="A215" s="1" t="e">
        <f ca="1">'2026_CITYHOPE_BMT_ALLO_REL_ADUL'!$A$1</f>
        <v>#VALUE!</v>
      </c>
      <c r="B215" s="14" t="e">
        <f t="shared" ca="1" si="43"/>
        <v>#VALUE!</v>
      </c>
      <c r="C215" s="1" t="s">
        <v>364</v>
      </c>
      <c r="D215" s="4" t="e" cm="1">
        <f t="array" aca="1" ref="D215" ca="1">RIGHT(INDIRECT(ADDRESS(6,2,,,$A215)),6)</f>
        <v>#VALUE!</v>
      </c>
      <c r="E215" s="1" t="e" cm="1">
        <f t="array" aca="1" ref="E215" ca="1">RIGHT(INDIRECT(ADDRESS(4,2,,,$A215)),5)</f>
        <v>#VALUE!</v>
      </c>
      <c r="F215" s="22"/>
      <c r="G215" s="22">
        <f t="shared" si="41"/>
        <v>1.0325</v>
      </c>
      <c r="H215" s="7">
        <v>2</v>
      </c>
      <c r="I215" s="7">
        <v>3</v>
      </c>
      <c r="J215" s="26"/>
      <c r="K215" s="26"/>
      <c r="L215" s="26"/>
      <c r="M215" s="26"/>
      <c r="N215" s="21" t="str">
        <f>LEFT(INDEX('2026_CITYHOPE_BMT_ALLO_REL_ADUL'!$A$1:$E$30,MATCH($H215,'2026_CITYHOPE_BMT_ALLO_REL_ADUL'!$A$1:$A$30),MATCH(I215,'2026_CITYHOPE_BMT_ALLO_REL_ADUL'!$A$1:$D$1)),30)</f>
        <v>RELATED DONOR SEARCH*</v>
      </c>
      <c r="O215" s="16">
        <v>7000</v>
      </c>
      <c r="P215" s="510">
        <f t="shared" si="42"/>
        <v>7228</v>
      </c>
    </row>
    <row r="216" spans="1:17">
      <c r="A216" s="1" t="e">
        <f ca="1">'2026_CITYHOPE_BMT_ALLO_REL_ADUL'!$A$1</f>
        <v>#VALUE!</v>
      </c>
      <c r="B216" s="14" t="e">
        <f t="shared" ca="1" si="43"/>
        <v>#VALUE!</v>
      </c>
      <c r="C216" s="1" t="s">
        <v>364</v>
      </c>
      <c r="D216" s="4" t="e" cm="1">
        <f t="array" aca="1" ref="D216" ca="1">RIGHT(INDIRECT(ADDRESS(6,2,,,$A216)),6)</f>
        <v>#VALUE!</v>
      </c>
      <c r="E216" s="1" t="e" cm="1">
        <f t="array" aca="1" ref="E216" ca="1">RIGHT(INDIRECT(ADDRESS(4,2,,,$A216)),5)</f>
        <v>#VALUE!</v>
      </c>
      <c r="F216" s="22"/>
      <c r="G216" s="22">
        <f t="shared" si="41"/>
        <v>1.0325</v>
      </c>
      <c r="H216" s="7">
        <v>3</v>
      </c>
      <c r="I216" s="7">
        <v>3</v>
      </c>
      <c r="J216" s="26"/>
      <c r="K216" s="26"/>
      <c r="L216" s="26"/>
      <c r="M216" s="26"/>
      <c r="N216" s="21" t="str">
        <f>LEFT(INDEX('2026_CITYHOPE_BMT_ALLO_REL_ADUL'!$A$1:$E$30,MATCH($H216,'2026_CITYHOPE_BMT_ALLO_REL_ADUL'!$A$1:$A$30),MATCH(I216,'2026_CITYHOPE_BMT_ALLO_REL_ADUL'!$A$1:$D$1)),30)</f>
        <v>RELATED DONOR HARVEST</v>
      </c>
      <c r="O216" s="16">
        <v>16500</v>
      </c>
      <c r="P216" s="510">
        <f t="shared" si="42"/>
        <v>17036</v>
      </c>
    </row>
    <row r="217" spans="1:17">
      <c r="A217" s="1" t="e">
        <f ca="1">'2026_CITYHOPE_BMT_ALLO_REL_ADUL'!$A$1</f>
        <v>#VALUE!</v>
      </c>
      <c r="B217" s="14" t="e">
        <f t="shared" ca="1" si="43"/>
        <v>#VALUE!</v>
      </c>
      <c r="C217" s="1" t="s">
        <v>364</v>
      </c>
      <c r="D217" s="4" t="e" cm="1">
        <f t="array" aca="1" ref="D217" ca="1">RIGHT(INDIRECT(ADDRESS(6,2,,,$A217)),6)</f>
        <v>#VALUE!</v>
      </c>
      <c r="E217" s="1" t="e" cm="1">
        <f t="array" aca="1" ref="E217" ca="1">RIGHT(INDIRECT(ADDRESS(4,2,,,$A217)),5)</f>
        <v>#VALUE!</v>
      </c>
      <c r="F217" s="22"/>
      <c r="G217" s="22">
        <f t="shared" si="41"/>
        <v>1.0325</v>
      </c>
      <c r="H217" s="7">
        <v>4</v>
      </c>
      <c r="I217" s="7">
        <v>3</v>
      </c>
      <c r="J217" s="26"/>
      <c r="K217" s="26"/>
      <c r="L217" s="26"/>
      <c r="M217" s="26"/>
      <c r="N217" s="21" t="str">
        <f>LEFT(INDEX('2026_CITYHOPE_BMT_ALLO_REL_ADUL'!$A$1:$E$30,MATCH($H217,'2026_CITYHOPE_BMT_ALLO_REL_ADUL'!$A$1:$A$30),MATCH(I217,'2026_CITYHOPE_BMT_ALLO_REL_ADUL'!$A$1:$D$1)),30)</f>
        <v>PREP AND TRANSPLANT</v>
      </c>
      <c r="O217" s="16">
        <v>110000</v>
      </c>
      <c r="P217" s="510">
        <f t="shared" si="42"/>
        <v>113575</v>
      </c>
    </row>
    <row r="218" spans="1:17">
      <c r="A218" s="1" t="e">
        <f ca="1">'2026_CITYHOPE_BMT_ALLO_REL_ADUL'!$A$1</f>
        <v>#VALUE!</v>
      </c>
      <c r="B218" s="14" t="e">
        <f t="shared" ca="1" si="43"/>
        <v>#VALUE!</v>
      </c>
      <c r="C218" s="1" t="s">
        <v>364</v>
      </c>
      <c r="D218" s="4" t="e" cm="1">
        <f t="array" aca="1" ref="D218" ca="1">RIGHT(INDIRECT(ADDRESS(6,2,,,$A218)),6)</f>
        <v>#VALUE!</v>
      </c>
      <c r="E218" s="1" t="e" cm="1">
        <f t="array" aca="1" ref="E218" ca="1">RIGHT(INDIRECT(ADDRESS(4,2,,,$A218)),5)</f>
        <v>#VALUE!</v>
      </c>
      <c r="F218" s="22"/>
      <c r="G218" s="22">
        <f t="shared" si="41"/>
        <v>1.0325</v>
      </c>
      <c r="H218" s="7">
        <v>5</v>
      </c>
      <c r="I218" s="7">
        <v>3</v>
      </c>
      <c r="J218" s="26"/>
      <c r="K218" s="26"/>
      <c r="L218" s="26"/>
      <c r="M218" s="26"/>
      <c r="N218" s="21" t="str">
        <f>LEFT(INDEX('2026_CITYHOPE_BMT_ALLO_REL_ADUL'!$A$1:$E$30,MATCH($H218,'2026_CITYHOPE_BMT_ALLO_REL_ADUL'!$A$1:$A$30),MATCH(I218,'2026_CITYHOPE_BMT_ALLO_REL_ADUL'!$A$1:$D$1)),30)</f>
        <v>FOLLOW UP CARE - From day 1 po</v>
      </c>
      <c r="O218" s="16">
        <v>42000</v>
      </c>
      <c r="P218" s="510">
        <f t="shared" si="42"/>
        <v>43365</v>
      </c>
    </row>
    <row r="219" spans="1:17">
      <c r="A219" s="1" t="e">
        <f ca="1">'2026_CITYHOPE_BMT_ALLO_REL_ADUL'!$A$1</f>
        <v>#VALUE!</v>
      </c>
      <c r="B219" s="14" t="e">
        <f t="shared" ca="1" si="43"/>
        <v>#VALUE!</v>
      </c>
      <c r="C219" s="1" t="s">
        <v>364</v>
      </c>
      <c r="D219" s="4" t="e" cm="1">
        <f t="array" aca="1" ref="D219" ca="1">RIGHT(INDIRECT(ADDRESS(6,2,,,$A219)),6)</f>
        <v>#VALUE!</v>
      </c>
      <c r="E219" s="1" t="e" cm="1">
        <f t="array" aca="1" ref="E219" ca="1">RIGHT(INDIRECT(ADDRESS(4,2,,,$A219)),5)</f>
        <v>#VALUE!</v>
      </c>
      <c r="F219" s="22"/>
      <c r="G219" s="22">
        <f t="shared" si="41"/>
        <v>1.0325</v>
      </c>
      <c r="H219" s="7">
        <v>6</v>
      </c>
      <c r="I219" s="7">
        <v>3</v>
      </c>
      <c r="J219" s="26"/>
      <c r="K219" s="26"/>
      <c r="L219" s="26"/>
      <c r="M219" s="26"/>
      <c r="N219" s="21" t="str">
        <f>LEFT(INDEX('2026_CITYHOPE_BMT_ALLO_REL_ADUL'!$A$1:$E$30,MATCH($H219,'2026_CITYHOPE_BMT_ALLO_REL_ADUL'!$A$1:$A$30),MATCH(I219,'2026_CITYHOPE_BMT_ALLO_REL_ADUL'!$A$1:$D$1)),30)</f>
        <v xml:space="preserve">FOLLOW UP CARE - From day 31  </v>
      </c>
      <c r="O219" s="16">
        <v>11920</v>
      </c>
      <c r="P219" s="510">
        <f t="shared" si="42"/>
        <v>12307</v>
      </c>
    </row>
    <row r="220" spans="1:17">
      <c r="A220" s="1" t="e">
        <f ca="1">'2026_CITYHOPE_BMT_ALLO_REL_ADUL'!$A$1</f>
        <v>#VALUE!</v>
      </c>
      <c r="B220" s="14" t="e">
        <f t="shared" ca="1" si="43"/>
        <v>#VALUE!</v>
      </c>
      <c r="C220" s="1" t="s">
        <v>364</v>
      </c>
      <c r="D220" s="4" t="e" cm="1">
        <f t="array" aca="1" ref="D220" ca="1">RIGHT(INDIRECT(ADDRESS(6,2,,,$A220)),6)</f>
        <v>#VALUE!</v>
      </c>
      <c r="E220" s="1" t="e" cm="1">
        <f t="array" aca="1" ref="E220" ca="1">RIGHT(INDIRECT(ADDRESS(4,2,,,$A220)),5)</f>
        <v>#VALUE!</v>
      </c>
      <c r="F220" s="22"/>
      <c r="G220" s="22">
        <f t="shared" si="41"/>
        <v>1.0325</v>
      </c>
      <c r="H220" s="7">
        <v>7</v>
      </c>
      <c r="I220" s="7">
        <v>3</v>
      </c>
      <c r="J220" s="26"/>
      <c r="K220" s="26"/>
      <c r="L220" s="26"/>
      <c r="M220" s="26"/>
      <c r="N220" s="21" t="str">
        <f>LEFT(INDEX('2026_CITYHOPE_BMT_ALLO_REL_ADUL'!$A$1:$E$30,MATCH($H220,'2026_CITYHOPE_BMT_ALLO_REL_ADUL'!$A$1:$A$30),MATCH(I220,'2026_CITYHOPE_BMT_ALLO_REL_ADUL'!$A$1:$D$1)),30)</f>
        <v xml:space="preserve">PER DIEM RATES for day 61+ of </v>
      </c>
      <c r="O220" s="16">
        <v>2474</v>
      </c>
      <c r="P220" s="510">
        <f t="shared" si="42"/>
        <v>2554</v>
      </c>
    </row>
    <row r="221" spans="1:17">
      <c r="A221" s="1" t="e">
        <f ca="1">'2026_CITYHOPE_BMT_ALLO_REL_ADUL'!$A$1</f>
        <v>#VALUE!</v>
      </c>
      <c r="B221" s="14" t="e">
        <f t="shared" ca="1" si="43"/>
        <v>#VALUE!</v>
      </c>
      <c r="C221" s="1" t="s">
        <v>364</v>
      </c>
      <c r="D221" s="4" t="e" cm="1">
        <f t="array" aca="1" ref="D221" ca="1">RIGHT(INDIRECT(ADDRESS(6,2,,,$A221)),6)</f>
        <v>#VALUE!</v>
      </c>
      <c r="E221" s="1" t="e" cm="1">
        <f t="array" aca="1" ref="E221" ca="1">RIGHT(INDIRECT(ADDRESS(4,2,,,$A221)),5)</f>
        <v>#VALUE!</v>
      </c>
      <c r="F221" s="22"/>
      <c r="G221" s="22">
        <f t="shared" si="41"/>
        <v>1.0325</v>
      </c>
      <c r="H221" s="7">
        <v>8</v>
      </c>
      <c r="I221" s="7">
        <v>3</v>
      </c>
      <c r="J221" s="26"/>
      <c r="K221" s="26"/>
      <c r="L221" s="26"/>
      <c r="M221" s="26"/>
      <c r="N221" s="21" t="str">
        <f>LEFT(INDEX('2026_CITYHOPE_BMT_ALLO_REL_ADUL'!$A$1:$E$30,MATCH($H221,'2026_CITYHOPE_BMT_ALLO_REL_ADUL'!$A$1:$A$30),MATCH(I221,'2026_CITYHOPE_BMT_ALLO_REL_ADUL'!$A$1:$D$1)),30)</f>
        <v>Days 11+/61+ paid at the per d</v>
      </c>
      <c r="O221" s="16">
        <v>7263.18</v>
      </c>
      <c r="P221" s="509">
        <f>O221*$Q$2</f>
        <v>8014.1928120000002</v>
      </c>
      <c r="Q221" s="14" t="s">
        <v>352</v>
      </c>
    </row>
    <row r="222" spans="1:17">
      <c r="A222" s="1" t="e">
        <f ca="1">'2026_CITYHOPE_BMT_HAPLOID_ADULT'!$A$1</f>
        <v>#VALUE!</v>
      </c>
      <c r="B222" s="14" t="e">
        <f t="shared" ref="B222" ca="1" si="44">IF(A222=A221,0,1)</f>
        <v>#VALUE!</v>
      </c>
      <c r="C222" s="1" t="s">
        <v>364</v>
      </c>
      <c r="D222" s="4" t="e" cm="1">
        <f t="array" aca="1" ref="D222" ca="1">RIGHT(INDIRECT(ADDRESS(6,2,,,$A222)),6)</f>
        <v>#VALUE!</v>
      </c>
      <c r="E222" s="1" t="e" cm="1">
        <f t="array" aca="1" ref="E222" ca="1">RIGHT(INDIRECT(ADDRESS(4,2,,,$A222)),5)</f>
        <v>#VALUE!</v>
      </c>
      <c r="F222" s="22"/>
      <c r="G222" s="22">
        <f t="shared" si="41"/>
        <v>1.0325</v>
      </c>
      <c r="H222" s="7">
        <v>1</v>
      </c>
      <c r="I222" s="7">
        <v>3</v>
      </c>
      <c r="J222" s="26"/>
      <c r="K222" s="26"/>
      <c r="L222" s="26"/>
      <c r="M222" s="26"/>
      <c r="N222" s="21" t="str">
        <f>LEFT(INDEX('2026_CITYHOPE_BMT_HAPLOID_ADULT'!$A$1:$E$30,MATCH($H222,'2026_CITYHOPE_BMT_HAPLOID_ADULT'!$A$1:$A$30),MATCH(I222,'2026_CITYHOPE_BMT_HAPLOID_ADULT'!$A$1:$D$1)),30)</f>
        <v>OUTPATIENT EVALUATION* - Initi</v>
      </c>
      <c r="O222" s="16">
        <v>6443</v>
      </c>
      <c r="P222" s="510">
        <f t="shared" si="42"/>
        <v>6652</v>
      </c>
    </row>
    <row r="223" spans="1:17">
      <c r="A223" s="1" t="e">
        <f ca="1">'2026_CITYHOPE_BMT_HAPLOID_ADULT'!$A$1</f>
        <v>#VALUE!</v>
      </c>
      <c r="B223" s="14" t="e">
        <f t="shared" ref="B223:B231" ca="1" si="45">IF(A223=A222,0,1)</f>
        <v>#VALUE!</v>
      </c>
      <c r="C223" s="1" t="s">
        <v>364</v>
      </c>
      <c r="D223" s="4" t="e" cm="1">
        <f t="array" aca="1" ref="D223" ca="1">RIGHT(INDIRECT(ADDRESS(6,2,,,$A223)),6)</f>
        <v>#VALUE!</v>
      </c>
      <c r="E223" s="1" t="e" cm="1">
        <f t="array" aca="1" ref="E223" ca="1">RIGHT(INDIRECT(ADDRESS(4,2,,,$A223)),5)</f>
        <v>#VALUE!</v>
      </c>
      <c r="F223" s="22"/>
      <c r="G223" s="22">
        <f t="shared" si="41"/>
        <v>1.0325</v>
      </c>
      <c r="H223" s="7">
        <v>2</v>
      </c>
      <c r="I223" s="7">
        <v>3</v>
      </c>
      <c r="J223" s="26"/>
      <c r="K223" s="26"/>
      <c r="L223" s="26"/>
      <c r="M223" s="26"/>
      <c r="N223" s="21" t="str">
        <f>LEFT(INDEX('2026_CITYHOPE_BMT_HAPLOID_ADULT'!$A$1:$E$30,MATCH($H223,'2026_CITYHOPE_BMT_HAPLOID_ADULT'!$A$1:$A$30),MATCH(I223,'2026_CITYHOPE_BMT_HAPLOID_ADULT'!$A$1:$D$1)),30)</f>
        <v xml:space="preserve">DONOR SEARCH* </v>
      </c>
      <c r="O223" s="16">
        <v>11375</v>
      </c>
      <c r="P223" s="510">
        <f t="shared" si="42"/>
        <v>11745</v>
      </c>
    </row>
    <row r="224" spans="1:17">
      <c r="A224" s="1" t="e">
        <f ca="1">'2026_CITYHOPE_BMT_HAPLOID_ADULT'!$A$1</f>
        <v>#VALUE!</v>
      </c>
      <c r="B224" s="14" t="e">
        <f t="shared" ca="1" si="45"/>
        <v>#VALUE!</v>
      </c>
      <c r="C224" s="1" t="s">
        <v>364</v>
      </c>
      <c r="D224" s="4" t="e" cm="1">
        <f t="array" aca="1" ref="D224" ca="1">RIGHT(INDIRECT(ADDRESS(6,2,,,$A224)),6)</f>
        <v>#VALUE!</v>
      </c>
      <c r="E224" s="1" t="e" cm="1">
        <f t="array" aca="1" ref="E224" ca="1">RIGHT(INDIRECT(ADDRESS(4,2,,,$A224)),5)</f>
        <v>#VALUE!</v>
      </c>
      <c r="F224" s="22"/>
      <c r="G224" s="22">
        <f t="shared" si="41"/>
        <v>1.0325</v>
      </c>
      <c r="H224" s="7">
        <v>3</v>
      </c>
      <c r="I224" s="7">
        <v>3</v>
      </c>
      <c r="J224" s="26"/>
      <c r="K224" s="26"/>
      <c r="L224" s="26"/>
      <c r="M224" s="26"/>
      <c r="N224" s="21" t="str">
        <f>LEFT(INDEX('2026_CITYHOPE_BMT_HAPLOID_ADULT'!$A$1:$E$30,MATCH($H224,'2026_CITYHOPE_BMT_HAPLOID_ADULT'!$A$1:$A$30),MATCH(I224,'2026_CITYHOPE_BMT_HAPLOID_ADULT'!$A$1:$D$1)),30)</f>
        <v>DONOR HARVEST (includes stem c</v>
      </c>
      <c r="O224" s="16">
        <v>17130</v>
      </c>
      <c r="P224" s="510">
        <f t="shared" si="42"/>
        <v>17687</v>
      </c>
    </row>
    <row r="225" spans="1:17">
      <c r="A225" s="1" t="e">
        <f ca="1">'2026_CITYHOPE_BMT_HAPLOID_ADULT'!$A$1</f>
        <v>#VALUE!</v>
      </c>
      <c r="B225" s="14" t="e">
        <f t="shared" ca="1" si="45"/>
        <v>#VALUE!</v>
      </c>
      <c r="C225" s="1" t="s">
        <v>364</v>
      </c>
      <c r="D225" s="4" t="e" cm="1">
        <f t="array" aca="1" ref="D225" ca="1">RIGHT(INDIRECT(ADDRESS(6,2,,,$A225)),6)</f>
        <v>#VALUE!</v>
      </c>
      <c r="E225" s="1" t="e" cm="1">
        <f t="array" aca="1" ref="E225" ca="1">RIGHT(INDIRECT(ADDRESS(4,2,,,$A225)),5)</f>
        <v>#VALUE!</v>
      </c>
      <c r="F225" s="22"/>
      <c r="G225" s="22">
        <f t="shared" si="41"/>
        <v>1.0325</v>
      </c>
      <c r="H225" s="7">
        <v>4</v>
      </c>
      <c r="I225" s="7">
        <v>3</v>
      </c>
      <c r="J225" s="26"/>
      <c r="K225" s="26"/>
      <c r="L225" s="26"/>
      <c r="M225" s="26"/>
      <c r="N225" s="21" t="str">
        <f>LEFT(INDEX('2026_CITYHOPE_BMT_HAPLOID_ADULT'!$A$1:$E$30,MATCH($H225,'2026_CITYHOPE_BMT_HAPLOID_ADULT'!$A$1:$A$30),MATCH(I225,'2026_CITYHOPE_BMT_HAPLOID_ADULT'!$A$1:$D$1)),30)</f>
        <v>PREP AND TRANSPLANT</v>
      </c>
      <c r="O225" s="16">
        <v>116000</v>
      </c>
      <c r="P225" s="510">
        <f t="shared" si="42"/>
        <v>119770</v>
      </c>
    </row>
    <row r="226" spans="1:17">
      <c r="A226" s="1" t="e">
        <f ca="1">'2026_CITYHOPE_BMT_HAPLOID_ADULT'!$A$1</f>
        <v>#VALUE!</v>
      </c>
      <c r="B226" s="14" t="e">
        <f t="shared" ca="1" si="45"/>
        <v>#VALUE!</v>
      </c>
      <c r="C226" s="1" t="s">
        <v>364</v>
      </c>
      <c r="D226" s="4" t="e" cm="1">
        <f t="array" aca="1" ref="D226" ca="1">RIGHT(INDIRECT(ADDRESS(6,2,,,$A226)),6)</f>
        <v>#VALUE!</v>
      </c>
      <c r="E226" s="1" t="e" cm="1">
        <f t="array" aca="1" ref="E226" ca="1">RIGHT(INDIRECT(ADDRESS(4,2,,,$A226)),5)</f>
        <v>#VALUE!</v>
      </c>
      <c r="F226" s="22"/>
      <c r="G226" s="22">
        <f t="shared" si="41"/>
        <v>1.0325</v>
      </c>
      <c r="H226" s="7">
        <v>5</v>
      </c>
      <c r="I226" s="7">
        <v>3</v>
      </c>
      <c r="J226" s="26"/>
      <c r="K226" s="26"/>
      <c r="L226" s="26"/>
      <c r="M226" s="26"/>
      <c r="N226" s="21" t="str">
        <f>LEFT(INDEX('2026_CITYHOPE_BMT_HAPLOID_ADULT'!$A$1:$E$30,MATCH($H226,'2026_CITYHOPE_BMT_HAPLOID_ADULT'!$A$1:$A$30),MATCH(I226,'2026_CITYHOPE_BMT_HAPLOID_ADULT'!$A$1:$D$1)),30)</f>
        <v>FOLLOW UP CARE - From day 1 po</v>
      </c>
      <c r="O226" s="16">
        <v>43702</v>
      </c>
      <c r="P226" s="510">
        <f t="shared" si="42"/>
        <v>45122</v>
      </c>
    </row>
    <row r="227" spans="1:17">
      <c r="A227" s="1" t="e">
        <f ca="1">'2026_CITYHOPE_BMT_HAPLOID_ADULT'!$A$1</f>
        <v>#VALUE!</v>
      </c>
      <c r="B227" s="14" t="e">
        <f t="shared" ca="1" si="45"/>
        <v>#VALUE!</v>
      </c>
      <c r="C227" s="1" t="s">
        <v>364</v>
      </c>
      <c r="D227" s="4" t="e" cm="1">
        <f t="array" aca="1" ref="D227" ca="1">RIGHT(INDIRECT(ADDRESS(6,2,,,$A227)),6)</f>
        <v>#VALUE!</v>
      </c>
      <c r="E227" s="1" t="e" cm="1">
        <f t="array" aca="1" ref="E227" ca="1">RIGHT(INDIRECT(ADDRESS(4,2,,,$A227)),5)</f>
        <v>#VALUE!</v>
      </c>
      <c r="F227" s="22"/>
      <c r="G227" s="22">
        <f t="shared" si="41"/>
        <v>1.0325</v>
      </c>
      <c r="H227" s="7">
        <v>6</v>
      </c>
      <c r="I227" s="7">
        <v>3</v>
      </c>
      <c r="J227" s="26"/>
      <c r="K227" s="26"/>
      <c r="L227" s="26"/>
      <c r="M227" s="26"/>
      <c r="N227" s="21" t="str">
        <f>LEFT(INDEX('2026_CITYHOPE_BMT_HAPLOID_ADULT'!$A$1:$E$30,MATCH($H227,'2026_CITYHOPE_BMT_HAPLOID_ADULT'!$A$1:$A$30),MATCH(I227,'2026_CITYHOPE_BMT_HAPLOID_ADULT'!$A$1:$D$1)),30)</f>
        <v xml:space="preserve">FOLLOW UP CARE - From day 31  </v>
      </c>
      <c r="O227" s="16">
        <v>32360</v>
      </c>
      <c r="P227" s="510">
        <f t="shared" si="42"/>
        <v>33412</v>
      </c>
    </row>
    <row r="228" spans="1:17">
      <c r="A228" s="1" t="e">
        <f ca="1">'2026_CITYHOPE_BMT_HAPLOID_ADULT'!$A$1</f>
        <v>#VALUE!</v>
      </c>
      <c r="B228" s="14" t="e">
        <f t="shared" ca="1" si="45"/>
        <v>#VALUE!</v>
      </c>
      <c r="C228" s="1" t="s">
        <v>364</v>
      </c>
      <c r="D228" s="4" t="e" cm="1">
        <f t="array" aca="1" ref="D228" ca="1">RIGHT(INDIRECT(ADDRESS(6,2,,,$A228)),6)</f>
        <v>#VALUE!</v>
      </c>
      <c r="E228" s="1" t="e" cm="1">
        <f t="array" aca="1" ref="E228" ca="1">RIGHT(INDIRECT(ADDRESS(4,2,,,$A228)),5)</f>
        <v>#VALUE!</v>
      </c>
      <c r="F228" s="22"/>
      <c r="G228" s="22">
        <f t="shared" si="41"/>
        <v>1.0325</v>
      </c>
      <c r="H228" s="7">
        <v>7</v>
      </c>
      <c r="I228" s="7">
        <v>3</v>
      </c>
      <c r="J228" s="26"/>
      <c r="K228" s="26"/>
      <c r="L228" s="26"/>
      <c r="M228" s="26"/>
      <c r="N228" s="21" t="str">
        <f>LEFT(INDEX('2026_CITYHOPE_BMT_HAPLOID_ADULT'!$A$1:$E$30,MATCH($H228,'2026_CITYHOPE_BMT_HAPLOID_ADULT'!$A$1:$A$30),MATCH(I228,'2026_CITYHOPE_BMT_HAPLOID_ADULT'!$A$1:$D$1)),30)</f>
        <v xml:space="preserve">PER DIEM RATES for day 61+ of </v>
      </c>
      <c r="O228" s="16">
        <v>2474</v>
      </c>
      <c r="P228" s="510">
        <f t="shared" si="42"/>
        <v>2554</v>
      </c>
    </row>
    <row r="229" spans="1:17">
      <c r="A229" s="1" t="e">
        <f ca="1">'2026_CITYHOPE_BMT_HAPLOID_ADULT'!$A$1</f>
        <v>#VALUE!</v>
      </c>
      <c r="B229" s="14" t="e">
        <f t="shared" ca="1" si="45"/>
        <v>#VALUE!</v>
      </c>
      <c r="C229" s="1" t="s">
        <v>364</v>
      </c>
      <c r="D229" s="4" t="e" cm="1">
        <f t="array" aca="1" ref="D229" ca="1">RIGHT(INDIRECT(ADDRESS(6,2,,,$A229)),6)</f>
        <v>#VALUE!</v>
      </c>
      <c r="E229" s="1" t="e" cm="1">
        <f t="array" aca="1" ref="E229" ca="1">RIGHT(INDIRECT(ADDRESS(4,2,,,$A229)),5)</f>
        <v>#VALUE!</v>
      </c>
      <c r="F229" s="22"/>
      <c r="G229" s="22">
        <f t="shared" si="41"/>
        <v>1.0325</v>
      </c>
      <c r="H229" s="7">
        <v>8</v>
      </c>
      <c r="I229" s="7">
        <v>3</v>
      </c>
      <c r="J229" s="26"/>
      <c r="K229" s="26"/>
      <c r="L229" s="26"/>
      <c r="M229" s="26"/>
      <c r="N229" s="21" t="str">
        <f>LEFT(INDEX('2026_CITYHOPE_BMT_HAPLOID_ADULT'!$A$1:$E$30,MATCH($H229,'2026_CITYHOPE_BMT_HAPLOID_ADULT'!$A$1:$A$30),MATCH(I229,'2026_CITYHOPE_BMT_HAPLOID_ADULT'!$A$1:$D$1)),30)</f>
        <v>Days 11+/61+ paid at the per d</v>
      </c>
      <c r="O229" s="16">
        <v>7263.18</v>
      </c>
      <c r="P229" s="509">
        <f>O229*$Q$2</f>
        <v>8014.1928120000002</v>
      </c>
      <c r="Q229" s="14" t="s">
        <v>352</v>
      </c>
    </row>
    <row r="230" spans="1:17">
      <c r="A230" s="1" t="e">
        <f ca="1">'2026_CITYHOPE_BMT_HAPLOID_ADULT'!$A$1</f>
        <v>#VALUE!</v>
      </c>
      <c r="B230" s="14" t="e">
        <f t="shared" ca="1" si="45"/>
        <v>#VALUE!</v>
      </c>
      <c r="C230" s="1" t="s">
        <v>364</v>
      </c>
      <c r="D230" s="4" t="e" cm="1">
        <f t="array" aca="1" ref="D230" ca="1">RIGHT(INDIRECT(ADDRESS(6,2,,,$A230)),6)</f>
        <v>#VALUE!</v>
      </c>
      <c r="E230" s="1" t="e" cm="1">
        <f t="array" aca="1" ref="E230" ca="1">RIGHT(INDIRECT(ADDRESS(4,2,,,$A230)),5)</f>
        <v>#VALUE!</v>
      </c>
      <c r="F230" s="22"/>
      <c r="G230" s="22">
        <f t="shared" si="41"/>
        <v>1.0325</v>
      </c>
      <c r="H230" s="7">
        <v>9</v>
      </c>
      <c r="I230" s="7">
        <v>3</v>
      </c>
      <c r="J230" s="26"/>
      <c r="K230" s="26"/>
      <c r="L230" s="26"/>
      <c r="M230" s="26"/>
      <c r="N230" s="21" t="str">
        <f>LEFT(INDEX('2026_CITYHOPE_BMT_HAPLOID_ADULT'!$A$1:$E$30,MATCH($H230,'2026_CITYHOPE_BMT_HAPLOID_ADULT'!$A$1:$A$30),MATCH(I230,'2026_CITYHOPE_BMT_HAPLOID_ADULT'!$A$1:$D$1)),30)</f>
        <v>Outliers: Haploid Related case</v>
      </c>
      <c r="O230" s="16">
        <v>249450</v>
      </c>
      <c r="P230" s="510">
        <f t="shared" si="42"/>
        <v>257557</v>
      </c>
      <c r="Q230" s="14" t="s">
        <v>353</v>
      </c>
    </row>
    <row r="231" spans="1:17">
      <c r="A231" s="1" t="e">
        <f ca="1">'2026_CITYHOPE_BMT_HAPLOID_ADULT'!$A$1</f>
        <v>#VALUE!</v>
      </c>
      <c r="B231" s="14" t="e">
        <f t="shared" ca="1" si="45"/>
        <v>#VALUE!</v>
      </c>
      <c r="C231" s="1" t="s">
        <v>364</v>
      </c>
      <c r="D231" s="4" t="e" cm="1">
        <f t="array" aca="1" ref="D231" ca="1">RIGHT(INDIRECT(ADDRESS(6,2,,,$A231)),6)</f>
        <v>#VALUE!</v>
      </c>
      <c r="E231" s="1" t="e" cm="1">
        <f t="array" aca="1" ref="E231" ca="1">RIGHT(INDIRECT(ADDRESS(4,2,,,$A231)),5)</f>
        <v>#VALUE!</v>
      </c>
      <c r="F231" s="22"/>
      <c r="G231" s="22">
        <f t="shared" si="41"/>
        <v>1.0325</v>
      </c>
      <c r="H231" s="7">
        <v>10</v>
      </c>
      <c r="I231" s="7">
        <v>3</v>
      </c>
      <c r="J231" s="26"/>
      <c r="K231" s="26"/>
      <c r="L231" s="26"/>
      <c r="M231" s="26"/>
      <c r="N231" s="21" t="str">
        <f>LEFT(INDEX('2026_CITYHOPE_BMT_HAPLOID_ADULT'!$A$1:$E$30,MATCH($H231,'2026_CITYHOPE_BMT_HAPLOID_ADULT'!$A$1:$A$30),MATCH(I231,'2026_CITYHOPE_BMT_HAPLOID_ADULT'!$A$1:$D$1)),30)</f>
        <v>Rate Above Threshold</v>
      </c>
      <c r="O231" s="16">
        <v>0.5</v>
      </c>
      <c r="P231" s="510">
        <f>O231</f>
        <v>0.5</v>
      </c>
      <c r="Q231" s="14" t="s">
        <v>354</v>
      </c>
    </row>
    <row r="232" spans="1:17">
      <c r="A232" s="1" t="e">
        <f ca="1">'2026_LPCH_BMT_AUT_PEDS'!$A$1</f>
        <v>#VALUE!</v>
      </c>
      <c r="B232" s="14" t="e">
        <f ca="1">IF(A232=A203,0,1)</f>
        <v>#VALUE!</v>
      </c>
      <c r="C232" s="1" t="s">
        <v>365</v>
      </c>
      <c r="D232" s="4" t="e" cm="1">
        <f t="array" aca="1" ref="D232" ca="1">RIGHT(INDIRECT(ADDRESS(6,2,,,$A232)),6)</f>
        <v>#VALUE!</v>
      </c>
      <c r="E232" s="1" t="e" cm="1">
        <f t="array" aca="1" ref="E232" ca="1">RIGHT(INDIRECT(ADDRESS(4,2,,,$A232)),5)</f>
        <v>#VALUE!</v>
      </c>
      <c r="F232" s="22">
        <v>1.0335000000000001</v>
      </c>
      <c r="G232" s="22">
        <f t="shared" si="41"/>
        <v>1.0325</v>
      </c>
      <c r="H232" s="7">
        <v>1</v>
      </c>
      <c r="I232" s="7">
        <v>3</v>
      </c>
      <c r="J232" s="26">
        <v>4</v>
      </c>
      <c r="K232" s="26"/>
      <c r="L232" s="26" t="s">
        <v>350</v>
      </c>
      <c r="M232" s="26" t="s">
        <v>351</v>
      </c>
      <c r="N232" s="9" t="str">
        <f>LEFT(INDEX('2026_LPCH_BMT_AUT_PEDS'!$A$1:$E$29,MATCH($H232,'2026_LPCH_BMT_AUT_PEDS'!$A$1:$A$29),MATCH(I232,'2026_LPCH_BMT_AUT_PEDS'!$A$1:$D$1)),30)</f>
        <v>EVALUATION (Inpatient or outpa</v>
      </c>
      <c r="O232" s="16">
        <v>0.35</v>
      </c>
      <c r="P232" s="507">
        <f>O232</f>
        <v>0.35</v>
      </c>
      <c r="Q232" s="14" t="s">
        <v>354</v>
      </c>
    </row>
    <row r="233" spans="1:17">
      <c r="A233" s="1" t="e">
        <f ca="1">'2026_LPCH_BMT_AUT_PEDS'!$A$1</f>
        <v>#VALUE!</v>
      </c>
      <c r="B233" s="14" t="e">
        <f t="shared" ca="1" si="43"/>
        <v>#VALUE!</v>
      </c>
      <c r="C233" s="1" t="s">
        <v>365</v>
      </c>
      <c r="D233" s="4" t="e" cm="1">
        <f t="array" aca="1" ref="D233" ca="1">RIGHT(INDIRECT(ADDRESS(6,2,,,$A233)),6)</f>
        <v>#VALUE!</v>
      </c>
      <c r="E233" s="1" t="e" cm="1">
        <f t="array" aca="1" ref="E233" ca="1">RIGHT(INDIRECT(ADDRESS(4,2,,,$A233)),5)</f>
        <v>#VALUE!</v>
      </c>
      <c r="F233" s="22">
        <v>1.0335000000000001</v>
      </c>
      <c r="G233" s="22">
        <f t="shared" si="41"/>
        <v>1.0325</v>
      </c>
      <c r="H233" s="7">
        <v>2</v>
      </c>
      <c r="I233" s="7">
        <v>3</v>
      </c>
      <c r="J233" s="26">
        <v>4</v>
      </c>
      <c r="K233" s="26"/>
      <c r="L233" s="26" t="s">
        <v>350</v>
      </c>
      <c r="M233" s="26" t="s">
        <v>351</v>
      </c>
      <c r="N233" s="9" t="str">
        <f>LEFT(INDEX('2026_LPCH_BMT_AUT_PEDS'!$A$1:$E$29,MATCH($H233,'2026_LPCH_BMT_AUT_PEDS'!$A$1:$A$29),MATCH(I233,'2026_LPCH_BMT_AUT_PEDS'!$A$1:$D$1)),30)</f>
        <v>AUTOLOGOUS HARVEST</v>
      </c>
      <c r="O233" s="16" t="s">
        <v>366</v>
      </c>
      <c r="P233" s="507" t="str">
        <f>O233</f>
        <v>included in rate</v>
      </c>
      <c r="Q233" s="14" t="s">
        <v>354</v>
      </c>
    </row>
    <row r="234" spans="1:17">
      <c r="A234" s="1" t="e">
        <f ca="1">'2026_LPCH_BMT_AUT_PEDS'!$A$1</f>
        <v>#VALUE!</v>
      </c>
      <c r="B234" s="14" t="e">
        <f t="shared" ca="1" si="43"/>
        <v>#VALUE!</v>
      </c>
      <c r="C234" s="1" t="s">
        <v>365</v>
      </c>
      <c r="D234" s="4" t="e" cm="1">
        <f t="array" aca="1" ref="D234" ca="1">RIGHT(INDIRECT(ADDRESS(6,2,,,$A234)),6)</f>
        <v>#VALUE!</v>
      </c>
      <c r="E234" s="1" t="e" cm="1">
        <f t="array" aca="1" ref="E234" ca="1">RIGHT(INDIRECT(ADDRESS(4,2,,,$A234)),5)</f>
        <v>#VALUE!</v>
      </c>
      <c r="F234" s="22">
        <v>1.0335000000000001</v>
      </c>
      <c r="G234" s="22">
        <f t="shared" si="41"/>
        <v>1.0325</v>
      </c>
      <c r="H234" s="7">
        <v>3</v>
      </c>
      <c r="I234" s="7">
        <v>3</v>
      </c>
      <c r="J234" s="26">
        <v>4</v>
      </c>
      <c r="K234" s="26"/>
      <c r="L234" s="26" t="s">
        <v>350</v>
      </c>
      <c r="M234" s="26" t="s">
        <v>351</v>
      </c>
      <c r="N234" s="9" t="str">
        <f>LEFT(INDEX('2026_LPCH_BMT_AUT_PEDS'!$A$1:$E$29,MATCH($H234,'2026_LPCH_BMT_AUT_PEDS'!$A$1:$A$29),MATCH(I234,'2026_LPCH_BMT_AUT_PEDS'!$A$1:$D$1)),30)</f>
        <v>PREP AND TRANSPLANT</v>
      </c>
      <c r="O234" s="16">
        <v>80834</v>
      </c>
      <c r="P234" s="507">
        <f t="shared" ref="P234:P236" si="46">ROUND(O234*$G$2,0)</f>
        <v>83461</v>
      </c>
    </row>
    <row r="235" spans="1:17">
      <c r="A235" s="1" t="e">
        <f ca="1">'2026_LPCH_BMT_AUT_PEDS'!$A$1</f>
        <v>#VALUE!</v>
      </c>
      <c r="B235" s="14" t="e">
        <f t="shared" ca="1" si="43"/>
        <v>#VALUE!</v>
      </c>
      <c r="C235" s="1" t="s">
        <v>365</v>
      </c>
      <c r="D235" s="4" t="e" cm="1">
        <f t="array" aca="1" ref="D235" ca="1">RIGHT(INDIRECT(ADDRESS(6,2,,,$A235)),6)</f>
        <v>#VALUE!</v>
      </c>
      <c r="E235" s="1" t="e" cm="1">
        <f t="array" aca="1" ref="E235" ca="1">RIGHT(INDIRECT(ADDRESS(4,2,,,$A235)),5)</f>
        <v>#VALUE!</v>
      </c>
      <c r="F235" s="22">
        <v>1.0335000000000001</v>
      </c>
      <c r="G235" s="22">
        <f t="shared" si="41"/>
        <v>1.0325</v>
      </c>
      <c r="H235" s="7">
        <v>4</v>
      </c>
      <c r="I235" s="7">
        <v>3</v>
      </c>
      <c r="J235" s="26">
        <v>4</v>
      </c>
      <c r="K235" s="26"/>
      <c r="L235" s="26" t="s">
        <v>350</v>
      </c>
      <c r="M235" s="26" t="s">
        <v>351</v>
      </c>
      <c r="N235" s="9" t="str">
        <f>LEFT(INDEX('2026_LPCH_BMT_AUT_PEDS'!$A$1:$E$29,MATCH($H235,'2026_LPCH_BMT_AUT_PEDS'!$A$1:$A$29),MATCH(I235,'2026_LPCH_BMT_AUT_PEDS'!$A$1:$D$1)),30)</f>
        <v>FOLLOW UP CARE - From day 1 po</v>
      </c>
      <c r="O235" s="16">
        <v>93865</v>
      </c>
      <c r="P235" s="507">
        <f t="shared" si="46"/>
        <v>96916</v>
      </c>
    </row>
    <row r="236" spans="1:17">
      <c r="A236" s="1" t="e">
        <f ca="1">'2026_LPCH_BMT_AUT_PEDS'!$A$1</f>
        <v>#VALUE!</v>
      </c>
      <c r="B236" s="14" t="e">
        <f t="shared" ca="1" si="43"/>
        <v>#VALUE!</v>
      </c>
      <c r="C236" s="1" t="s">
        <v>365</v>
      </c>
      <c r="D236" s="4" t="e" cm="1">
        <f t="array" aca="1" ref="D236" ca="1">RIGHT(INDIRECT(ADDRESS(6,2,,,$A236)),6)</f>
        <v>#VALUE!</v>
      </c>
      <c r="E236" s="1" t="e" cm="1">
        <f t="array" aca="1" ref="E236" ca="1">RIGHT(INDIRECT(ADDRESS(4,2,,,$A236)),5)</f>
        <v>#VALUE!</v>
      </c>
      <c r="F236" s="22">
        <v>1.0335000000000001</v>
      </c>
      <c r="G236" s="22">
        <f t="shared" si="41"/>
        <v>1.0325</v>
      </c>
      <c r="H236" s="7">
        <v>5</v>
      </c>
      <c r="I236" s="7">
        <v>3</v>
      </c>
      <c r="J236" s="26">
        <v>4</v>
      </c>
      <c r="K236" s="26"/>
      <c r="L236" s="26" t="s">
        <v>350</v>
      </c>
      <c r="M236" s="26" t="s">
        <v>351</v>
      </c>
      <c r="N236" s="9" t="str">
        <f>LEFT(INDEX('2026_LPCH_BMT_AUT_PEDS'!$A$1:$E$29,MATCH($H236,'2026_LPCH_BMT_AUT_PEDS'!$A$1:$A$29),MATCH(I236,'2026_LPCH_BMT_AUT_PEDS'!$A$1:$D$1)),30)</f>
        <v xml:space="preserve">FOLLOW UP CARE - From day 31  </v>
      </c>
      <c r="O236" s="16">
        <v>27386</v>
      </c>
      <c r="P236" s="507">
        <f t="shared" si="46"/>
        <v>28276</v>
      </c>
    </row>
    <row r="237" spans="1:17">
      <c r="A237" s="1" t="e">
        <f ca="1">'2026_LPCH_BMT_AUT_PEDS'!$A$1</f>
        <v>#VALUE!</v>
      </c>
      <c r="B237" s="14" t="e">
        <f t="shared" ca="1" si="43"/>
        <v>#VALUE!</v>
      </c>
      <c r="C237" s="1" t="s">
        <v>365</v>
      </c>
      <c r="D237" s="4" t="e" cm="1">
        <f t="array" aca="1" ref="D237" ca="1">RIGHT(INDIRECT(ADDRESS(6,2,,,$A237)),6)</f>
        <v>#VALUE!</v>
      </c>
      <c r="E237" s="1" t="e" cm="1">
        <f t="array" aca="1" ref="E237" ca="1">RIGHT(INDIRECT(ADDRESS(4,2,,,$A237)),5)</f>
        <v>#VALUE!</v>
      </c>
      <c r="F237" s="22">
        <v>1.0335000000000001</v>
      </c>
      <c r="G237" s="22">
        <f t="shared" si="41"/>
        <v>1.0325</v>
      </c>
      <c r="H237" s="7">
        <v>6</v>
      </c>
      <c r="I237" s="7">
        <v>3</v>
      </c>
      <c r="J237" s="26">
        <v>4</v>
      </c>
      <c r="K237" s="26"/>
      <c r="L237" s="26" t="s">
        <v>350</v>
      </c>
      <c r="M237" s="26" t="s">
        <v>351</v>
      </c>
      <c r="N237" s="9" t="str">
        <f>LEFT(INDEX('2026_LPCH_BMT_AUT_PEDS'!$A$1:$E$29,MATCH($H237,'2026_LPCH_BMT_AUT_PEDS'!$A$1:$A$29),MATCH(I237,'2026_LPCH_BMT_AUT_PEDS'!$A$1:$D$1)),30)</f>
        <v>TBI</v>
      </c>
      <c r="O237" s="16" t="s">
        <v>366</v>
      </c>
      <c r="P237" s="507" t="str">
        <f>O237</f>
        <v>included in rate</v>
      </c>
      <c r="Q237" s="14" t="s">
        <v>354</v>
      </c>
    </row>
    <row r="238" spans="1:17">
      <c r="A238" s="1" t="e">
        <f ca="1">'2026_LPCH_BMT_AUT_PEDS'!$A$1</f>
        <v>#VALUE!</v>
      </c>
      <c r="B238" s="14" t="e">
        <f t="shared" ca="1" si="43"/>
        <v>#VALUE!</v>
      </c>
      <c r="C238" s="1" t="s">
        <v>365</v>
      </c>
      <c r="D238" s="4" t="e" cm="1">
        <f t="array" aca="1" ref="D238" ca="1">RIGHT(INDIRECT(ADDRESS(6,2,,,$A238)),6)</f>
        <v>#VALUE!</v>
      </c>
      <c r="E238" s="1" t="e" cm="1">
        <f t="array" aca="1" ref="E238" ca="1">RIGHT(INDIRECT(ADDRESS(4,2,,,$A238)),5)</f>
        <v>#VALUE!</v>
      </c>
      <c r="F238" s="22">
        <v>1.0335000000000001</v>
      </c>
      <c r="G238" s="22">
        <f t="shared" si="41"/>
        <v>1.0325</v>
      </c>
      <c r="H238" s="7">
        <v>7</v>
      </c>
      <c r="I238" s="7">
        <v>3</v>
      </c>
      <c r="J238" s="26">
        <v>4</v>
      </c>
      <c r="K238" s="26"/>
      <c r="L238" s="26" t="s">
        <v>350</v>
      </c>
      <c r="M238" s="26" t="s">
        <v>351</v>
      </c>
      <c r="N238" s="9" t="str">
        <f>LEFT(INDEX('2026_LPCH_BMT_AUT_PEDS'!$A$1:$E$29,MATCH($H238,'2026_LPCH_BMT_AUT_PEDS'!$A$1:$A$29),MATCH(I238,'2026_LPCH_BMT_AUT_PEDS'!$A$1:$D$1)),30)</f>
        <v xml:space="preserve">PER DIEM RATES for day 61+ of </v>
      </c>
      <c r="O238" s="16">
        <v>0.35</v>
      </c>
      <c r="P238" s="507">
        <f>O238</f>
        <v>0.35</v>
      </c>
      <c r="Q238" s="14" t="s">
        <v>354</v>
      </c>
    </row>
    <row r="239" spans="1:17">
      <c r="A239" s="1" t="e">
        <f ca="1">'2026_LPCH_BMT_AUT_PEDS'!$A$1</f>
        <v>#VALUE!</v>
      </c>
      <c r="B239" s="14" t="e">
        <f t="shared" ca="1" si="43"/>
        <v>#VALUE!</v>
      </c>
      <c r="C239" s="1" t="s">
        <v>365</v>
      </c>
      <c r="D239" s="4" t="e" cm="1">
        <f t="array" aca="1" ref="D239" ca="1">RIGHT(INDIRECT(ADDRESS(6,2,,,$A239)),6)</f>
        <v>#VALUE!</v>
      </c>
      <c r="E239" s="1" t="e" cm="1">
        <f t="array" aca="1" ref="E239" ca="1">RIGHT(INDIRECT(ADDRESS(4,2,,,$A239)),5)</f>
        <v>#VALUE!</v>
      </c>
      <c r="F239" s="22">
        <v>1.0335000000000001</v>
      </c>
      <c r="G239" s="22">
        <f t="shared" si="41"/>
        <v>1.0325</v>
      </c>
      <c r="H239" s="7">
        <v>8</v>
      </c>
      <c r="I239" s="7">
        <v>3</v>
      </c>
      <c r="J239" s="26">
        <v>4</v>
      </c>
      <c r="K239" s="26"/>
      <c r="L239" s="26" t="s">
        <v>350</v>
      </c>
      <c r="M239" s="26" t="s">
        <v>351</v>
      </c>
      <c r="N239" s="9" t="str">
        <f>LEFT(INDEX('2026_LPCH_BMT_AUT_PEDS'!$A$1:$E$29,MATCH($H239,'2026_LPCH_BMT_AUT_PEDS'!$A$1:$A$29),MATCH(I239,'2026_LPCH_BMT_AUT_PEDS'!$A$1:$D$1)),30)</f>
        <v>**Autologous Bone Marrow cases</v>
      </c>
      <c r="O239" s="16">
        <v>356346</v>
      </c>
      <c r="P239" s="507">
        <f t="shared" ref="P239" si="47">ROUND(O239*$G$2,0)</f>
        <v>367927</v>
      </c>
      <c r="Q239" s="14" t="s">
        <v>353</v>
      </c>
    </row>
    <row r="240" spans="1:17">
      <c r="A240" s="1" t="e">
        <f ca="1">'2026_LPCH_BMT_AUT_PEDS'!$A$1</f>
        <v>#VALUE!</v>
      </c>
      <c r="B240" s="14" t="e">
        <f t="shared" ca="1" si="43"/>
        <v>#VALUE!</v>
      </c>
      <c r="C240" s="1" t="s">
        <v>365</v>
      </c>
      <c r="D240" s="4" t="e" cm="1">
        <f t="array" aca="1" ref="D240" ca="1">RIGHT(INDIRECT(ADDRESS(6,2,,,$A240)),6)</f>
        <v>#VALUE!</v>
      </c>
      <c r="E240" s="1" t="e" cm="1">
        <f t="array" aca="1" ref="E240" ca="1">RIGHT(INDIRECT(ADDRESS(4,2,,,$A240)),5)</f>
        <v>#VALUE!</v>
      </c>
      <c r="F240" s="22">
        <v>1.0335000000000001</v>
      </c>
      <c r="G240" s="22">
        <f t="shared" si="41"/>
        <v>1.0325</v>
      </c>
      <c r="H240" s="7">
        <v>9</v>
      </c>
      <c r="I240" s="7">
        <v>3</v>
      </c>
      <c r="J240" s="26">
        <v>4</v>
      </c>
      <c r="K240" s="26"/>
      <c r="L240" s="26" t="s">
        <v>350</v>
      </c>
      <c r="M240" s="26" t="s">
        <v>351</v>
      </c>
      <c r="N240" s="9" t="str">
        <f>LEFT(INDEX('2026_LPCH_BMT_AUT_PEDS'!$A$1:$E$29,MATCH($H240,'2026_LPCH_BMT_AUT_PEDS'!$A$1:$A$29),MATCH(I240,'2026_LPCH_BMT_AUT_PEDS'!$A$1:$D$1)),30)</f>
        <v>Rate above Threshold</v>
      </c>
      <c r="O240" s="16">
        <v>0.35</v>
      </c>
      <c r="P240" s="507">
        <f>O240</f>
        <v>0.35</v>
      </c>
      <c r="Q240" s="14" t="s">
        <v>354</v>
      </c>
    </row>
    <row r="241" spans="1:17">
      <c r="A241" s="1" t="e">
        <f ca="1">'2026_LPCH_ALLO_RELA_PEDS'!$A$1</f>
        <v>#VALUE!</v>
      </c>
      <c r="B241" s="14" t="e">
        <f t="shared" ca="1" si="43"/>
        <v>#VALUE!</v>
      </c>
      <c r="C241" s="1" t="s">
        <v>365</v>
      </c>
      <c r="D241" s="4" t="e" cm="1">
        <f t="array" aca="1" ref="D241" ca="1">RIGHT(INDIRECT(ADDRESS(6,2,,,$A241)),6)</f>
        <v>#VALUE!</v>
      </c>
      <c r="E241" s="1" t="e" cm="1">
        <f t="array" aca="1" ref="E241" ca="1">RIGHT(INDIRECT(ADDRESS(4,2,,,$A241)),5)</f>
        <v>#VALUE!</v>
      </c>
      <c r="F241" s="22">
        <v>1.0335000000000001</v>
      </c>
      <c r="G241" s="22">
        <f t="shared" si="41"/>
        <v>1.0325</v>
      </c>
      <c r="H241" s="7">
        <v>1</v>
      </c>
      <c r="I241" s="7">
        <v>3</v>
      </c>
      <c r="J241" s="26">
        <v>4</v>
      </c>
      <c r="K241" s="26"/>
      <c r="L241" s="26" t="s">
        <v>350</v>
      </c>
      <c r="M241" s="26" t="s">
        <v>351</v>
      </c>
      <c r="N241" s="9" t="str">
        <f>LEFT(INDEX('2026_LPCH_ALLO_RELA_PEDS'!$A$1:$E$30,MATCH($H241,'2026_LPCH_ALLO_RELA_PEDS'!$A$1:$A$30),MATCH(I241,'2026_LPCH_ALLO_RELA_PEDS'!$A$1:$D$1)),30)</f>
        <v>EVALUATION (Inpatient or outpa</v>
      </c>
      <c r="O241" s="16">
        <v>0.35</v>
      </c>
      <c r="P241" s="507">
        <f>O241</f>
        <v>0.35</v>
      </c>
      <c r="Q241" s="14" t="s">
        <v>354</v>
      </c>
    </row>
    <row r="242" spans="1:17">
      <c r="A242" s="1" t="e">
        <f ca="1">'2026_LPCH_ALLO_RELA_PEDS'!$A$1</f>
        <v>#VALUE!</v>
      </c>
      <c r="B242" s="14" t="e">
        <f t="shared" ca="1" si="43"/>
        <v>#VALUE!</v>
      </c>
      <c r="C242" s="1" t="s">
        <v>365</v>
      </c>
      <c r="D242" s="4" t="e" cm="1">
        <f t="array" aca="1" ref="D242" ca="1">RIGHT(INDIRECT(ADDRESS(6,2,,,$A242)),6)</f>
        <v>#VALUE!</v>
      </c>
      <c r="E242" s="1" t="e" cm="1">
        <f t="array" aca="1" ref="E242" ca="1">RIGHT(INDIRECT(ADDRESS(4,2,,,$A242)),5)</f>
        <v>#VALUE!</v>
      </c>
      <c r="F242" s="22">
        <v>1.0335000000000001</v>
      </c>
      <c r="G242" s="22">
        <f t="shared" si="41"/>
        <v>1.0325</v>
      </c>
      <c r="H242" s="7">
        <v>2</v>
      </c>
      <c r="I242" s="7">
        <v>3</v>
      </c>
      <c r="J242" s="26">
        <v>4</v>
      </c>
      <c r="K242" s="26"/>
      <c r="L242" s="26" t="s">
        <v>350</v>
      </c>
      <c r="M242" s="26" t="s">
        <v>351</v>
      </c>
      <c r="N242" s="9" t="str">
        <f>LEFT(INDEX('2026_LPCH_ALLO_RELA_PEDS'!$A$1:$E$30,MATCH($H242,'2026_LPCH_ALLO_RELA_PEDS'!$A$1:$A$30),MATCH(I242,'2026_LPCH_ALLO_RELA_PEDS'!$A$1:$D$1)),30)</f>
        <v>RELATED DONOR SEARCH</v>
      </c>
      <c r="O242" s="16" t="s">
        <v>367</v>
      </c>
      <c r="P242" s="507" t="str">
        <f>O242</f>
        <v>N/A</v>
      </c>
      <c r="Q242" s="14" t="s">
        <v>354</v>
      </c>
    </row>
    <row r="243" spans="1:17">
      <c r="A243" s="1" t="e">
        <f ca="1">'2026_LPCH_ALLO_RELA_PEDS'!$A$1</f>
        <v>#VALUE!</v>
      </c>
      <c r="B243" s="14" t="e">
        <f t="shared" ca="1" si="43"/>
        <v>#VALUE!</v>
      </c>
      <c r="C243" s="1" t="s">
        <v>365</v>
      </c>
      <c r="D243" s="4" t="e" cm="1">
        <f t="array" aca="1" ref="D243" ca="1">RIGHT(INDIRECT(ADDRESS(6,2,,,$A243)),6)</f>
        <v>#VALUE!</v>
      </c>
      <c r="E243" s="1" t="e" cm="1">
        <f t="array" aca="1" ref="E243" ca="1">RIGHT(INDIRECT(ADDRESS(4,2,,,$A243)),5)</f>
        <v>#VALUE!</v>
      </c>
      <c r="F243" s="22">
        <v>1.0335000000000001</v>
      </c>
      <c r="G243" s="22">
        <f t="shared" si="41"/>
        <v>1.0325</v>
      </c>
      <c r="H243" s="7">
        <v>3</v>
      </c>
      <c r="I243" s="7">
        <v>3</v>
      </c>
      <c r="J243" s="26">
        <v>4</v>
      </c>
      <c r="K243" s="26"/>
      <c r="L243" s="26" t="s">
        <v>350</v>
      </c>
      <c r="M243" s="26" t="s">
        <v>351</v>
      </c>
      <c r="N243" s="9" t="str">
        <f>LEFT(INDEX('2026_LPCH_ALLO_RELA_PEDS'!$A$1:$E$30,MATCH($H243,'2026_LPCH_ALLO_RELA_PEDS'!$A$1:$A$30),MATCH(I243,'2026_LPCH_ALLO_RELA_PEDS'!$A$1:$D$1)),30)</f>
        <v>RELATED DONOR HARVEST</v>
      </c>
      <c r="O243" s="16" t="s">
        <v>366</v>
      </c>
      <c r="P243" s="507" t="str">
        <f>O243</f>
        <v>included in rate</v>
      </c>
      <c r="Q243" s="14" t="s">
        <v>354</v>
      </c>
    </row>
    <row r="244" spans="1:17">
      <c r="A244" s="1" t="e">
        <f ca="1">'2026_LPCH_ALLO_RELA_PEDS'!$A$1</f>
        <v>#VALUE!</v>
      </c>
      <c r="B244" s="14" t="e">
        <f t="shared" ca="1" si="43"/>
        <v>#VALUE!</v>
      </c>
      <c r="C244" s="1" t="s">
        <v>365</v>
      </c>
      <c r="D244" s="4" t="e" cm="1">
        <f t="array" aca="1" ref="D244" ca="1">RIGHT(INDIRECT(ADDRESS(6,2,,,$A244)),6)</f>
        <v>#VALUE!</v>
      </c>
      <c r="E244" s="1" t="e" cm="1">
        <f t="array" aca="1" ref="E244" ca="1">RIGHT(INDIRECT(ADDRESS(4,2,,,$A244)),5)</f>
        <v>#VALUE!</v>
      </c>
      <c r="F244" s="22">
        <v>1.0335000000000001</v>
      </c>
      <c r="G244" s="22">
        <f t="shared" si="41"/>
        <v>1.0325</v>
      </c>
      <c r="H244" s="7">
        <v>4</v>
      </c>
      <c r="I244" s="7">
        <v>3</v>
      </c>
      <c r="J244" s="26">
        <v>4</v>
      </c>
      <c r="K244" s="26"/>
      <c r="L244" s="26" t="s">
        <v>350</v>
      </c>
      <c r="M244" s="26" t="s">
        <v>351</v>
      </c>
      <c r="N244" s="9" t="str">
        <f>LEFT(INDEX('2026_LPCH_ALLO_RELA_PEDS'!$A$1:$E$30,MATCH($H244,'2026_LPCH_ALLO_RELA_PEDS'!$A$1:$A$30),MATCH(I244,'2026_LPCH_ALLO_RELA_PEDS'!$A$1:$D$1)),30)</f>
        <v>PREP AND TRANSPLANT</v>
      </c>
      <c r="O244" s="16">
        <v>174771</v>
      </c>
      <c r="P244" s="507">
        <f t="shared" ref="P244:P246" si="48">ROUND(O244*$G$2,0)</f>
        <v>180451</v>
      </c>
    </row>
    <row r="245" spans="1:17">
      <c r="A245" s="1" t="e">
        <f ca="1">'2026_LPCH_ALLO_RELA_PEDS'!$A$1</f>
        <v>#VALUE!</v>
      </c>
      <c r="B245" s="14" t="e">
        <f t="shared" ca="1" si="43"/>
        <v>#VALUE!</v>
      </c>
      <c r="C245" s="1" t="s">
        <v>365</v>
      </c>
      <c r="D245" s="4" t="e" cm="1">
        <f t="array" aca="1" ref="D245" ca="1">RIGHT(INDIRECT(ADDRESS(6,2,,,$A245)),6)</f>
        <v>#VALUE!</v>
      </c>
      <c r="E245" s="1" t="e" cm="1">
        <f t="array" aca="1" ref="E245" ca="1">RIGHT(INDIRECT(ADDRESS(4,2,,,$A245)),5)</f>
        <v>#VALUE!</v>
      </c>
      <c r="F245" s="22">
        <v>1.0335000000000001</v>
      </c>
      <c r="G245" s="22">
        <f t="shared" si="41"/>
        <v>1.0325</v>
      </c>
      <c r="H245" s="7">
        <v>5</v>
      </c>
      <c r="I245" s="7">
        <v>3</v>
      </c>
      <c r="J245" s="26">
        <v>4</v>
      </c>
      <c r="K245" s="26"/>
      <c r="L245" s="26" t="s">
        <v>350</v>
      </c>
      <c r="M245" s="26" t="s">
        <v>351</v>
      </c>
      <c r="N245" s="9" t="str">
        <f>LEFT(INDEX('2026_LPCH_ALLO_RELA_PEDS'!$A$1:$E$30,MATCH($H245,'2026_LPCH_ALLO_RELA_PEDS'!$A$1:$A$30),MATCH(I245,'2026_LPCH_ALLO_RELA_PEDS'!$A$1:$D$1)),30)</f>
        <v>FOLLOW UP CARE - From day 1 po</v>
      </c>
      <c r="O245" s="16">
        <v>233120</v>
      </c>
      <c r="P245" s="507">
        <f t="shared" si="48"/>
        <v>240696</v>
      </c>
    </row>
    <row r="246" spans="1:17">
      <c r="A246" s="1" t="e">
        <f ca="1">'2026_LPCH_ALLO_RELA_PEDS'!$A$1</f>
        <v>#VALUE!</v>
      </c>
      <c r="B246" s="14" t="e">
        <f t="shared" ca="1" si="43"/>
        <v>#VALUE!</v>
      </c>
      <c r="C246" s="1" t="s">
        <v>365</v>
      </c>
      <c r="D246" s="4" t="e" cm="1">
        <f t="array" aca="1" ref="D246" ca="1">RIGHT(INDIRECT(ADDRESS(6,2,,,$A246)),6)</f>
        <v>#VALUE!</v>
      </c>
      <c r="E246" s="1" t="e" cm="1">
        <f t="array" aca="1" ref="E246" ca="1">RIGHT(INDIRECT(ADDRESS(4,2,,,$A246)),5)</f>
        <v>#VALUE!</v>
      </c>
      <c r="F246" s="22">
        <v>1.0335000000000001</v>
      </c>
      <c r="G246" s="22">
        <f t="shared" si="41"/>
        <v>1.0325</v>
      </c>
      <c r="H246" s="7">
        <v>6</v>
      </c>
      <c r="I246" s="7">
        <v>3</v>
      </c>
      <c r="J246" s="26">
        <v>4</v>
      </c>
      <c r="K246" s="26"/>
      <c r="L246" s="26" t="s">
        <v>350</v>
      </c>
      <c r="M246" s="26" t="s">
        <v>351</v>
      </c>
      <c r="N246" s="9" t="str">
        <f>LEFT(INDEX('2026_LPCH_ALLO_RELA_PEDS'!$A$1:$E$30,MATCH($H246,'2026_LPCH_ALLO_RELA_PEDS'!$A$1:$A$30),MATCH(I246,'2026_LPCH_ALLO_RELA_PEDS'!$A$1:$D$1)),30)</f>
        <v xml:space="preserve">FOLLOW UP CARE - From day 31  </v>
      </c>
      <c r="O246" s="16">
        <v>51477</v>
      </c>
      <c r="P246" s="507">
        <f t="shared" si="48"/>
        <v>53150</v>
      </c>
    </row>
    <row r="247" spans="1:17">
      <c r="A247" s="1" t="e">
        <f ca="1">'2026_LPCH_ALLO_RELA_PEDS'!$A$1</f>
        <v>#VALUE!</v>
      </c>
      <c r="B247" s="14" t="e">
        <f t="shared" ca="1" si="43"/>
        <v>#VALUE!</v>
      </c>
      <c r="C247" s="1" t="s">
        <v>365</v>
      </c>
      <c r="D247" s="4" t="e" cm="1">
        <f t="array" aca="1" ref="D247" ca="1">RIGHT(INDIRECT(ADDRESS(6,2,,,$A247)),6)</f>
        <v>#VALUE!</v>
      </c>
      <c r="E247" s="1" t="e" cm="1">
        <f t="array" aca="1" ref="E247" ca="1">RIGHT(INDIRECT(ADDRESS(4,2,,,$A247)),5)</f>
        <v>#VALUE!</v>
      </c>
      <c r="F247" s="22">
        <v>1.0335000000000001</v>
      </c>
      <c r="G247" s="22">
        <f t="shared" si="41"/>
        <v>1.0325</v>
      </c>
      <c r="H247" s="7">
        <v>7</v>
      </c>
      <c r="I247" s="7">
        <v>3</v>
      </c>
      <c r="J247" s="26">
        <v>4</v>
      </c>
      <c r="K247" s="26"/>
      <c r="L247" s="26" t="s">
        <v>350</v>
      </c>
      <c r="M247" s="26" t="s">
        <v>351</v>
      </c>
      <c r="N247" s="9" t="str">
        <f>LEFT(INDEX('2026_LPCH_ALLO_RELA_PEDS'!$A$1:$E$30,MATCH($H247,'2026_LPCH_ALLO_RELA_PEDS'!$A$1:$A$30),MATCH(I247,'2026_LPCH_ALLO_RELA_PEDS'!$A$1:$D$1)),30)</f>
        <v>TBI</v>
      </c>
      <c r="O247" s="16" t="s">
        <v>366</v>
      </c>
      <c r="P247" s="507" t="str">
        <f>O247</f>
        <v>included in rate</v>
      </c>
      <c r="Q247" s="14" t="s">
        <v>354</v>
      </c>
    </row>
    <row r="248" spans="1:17">
      <c r="A248" s="1" t="e">
        <f ca="1">'2026_LPCH_ALLO_RELA_PEDS'!$A$1</f>
        <v>#VALUE!</v>
      </c>
      <c r="B248" s="14" t="e">
        <f t="shared" ca="1" si="43"/>
        <v>#VALUE!</v>
      </c>
      <c r="C248" s="1" t="s">
        <v>365</v>
      </c>
      <c r="D248" s="4" t="e" cm="1">
        <f t="array" aca="1" ref="D248" ca="1">RIGHT(INDIRECT(ADDRESS(6,2,,,$A248)),6)</f>
        <v>#VALUE!</v>
      </c>
      <c r="E248" s="1" t="e" cm="1">
        <f t="array" aca="1" ref="E248" ca="1">RIGHT(INDIRECT(ADDRESS(4,2,,,$A248)),5)</f>
        <v>#VALUE!</v>
      </c>
      <c r="F248" s="22">
        <v>1.0335000000000001</v>
      </c>
      <c r="G248" s="22">
        <f t="shared" si="41"/>
        <v>1.0325</v>
      </c>
      <c r="H248" s="7">
        <v>8</v>
      </c>
      <c r="I248" s="7">
        <v>3</v>
      </c>
      <c r="J248" s="26">
        <v>4</v>
      </c>
      <c r="K248" s="26"/>
      <c r="L248" s="26" t="s">
        <v>350</v>
      </c>
      <c r="M248" s="26" t="s">
        <v>351</v>
      </c>
      <c r="N248" s="9" t="str">
        <f>LEFT(INDEX('2026_LPCH_ALLO_RELA_PEDS'!$A$1:$E$30,MATCH($H248,'2026_LPCH_ALLO_RELA_PEDS'!$A$1:$A$30),MATCH(I248,'2026_LPCH_ALLO_RELA_PEDS'!$A$1:$D$1)),30)</f>
        <v>**Autologous Bone Marrow cases</v>
      </c>
      <c r="O248" s="16">
        <v>1263262</v>
      </c>
      <c r="P248" s="507">
        <f t="shared" ref="P248" si="49">ROUND(O248*$G$2,0)</f>
        <v>1304318</v>
      </c>
      <c r="Q248" s="14" t="s">
        <v>353</v>
      </c>
    </row>
    <row r="249" spans="1:17">
      <c r="A249" s="1" t="e">
        <f ca="1">'2026_LPCH_ALLO_RELA_PEDS'!$A$1</f>
        <v>#VALUE!</v>
      </c>
      <c r="B249" s="14" t="e">
        <f t="shared" ca="1" si="43"/>
        <v>#VALUE!</v>
      </c>
      <c r="C249" s="1" t="s">
        <v>365</v>
      </c>
      <c r="D249" s="4" t="e" cm="1">
        <f t="array" aca="1" ref="D249" ca="1">RIGHT(INDIRECT(ADDRESS(6,2,,,$A249)),6)</f>
        <v>#VALUE!</v>
      </c>
      <c r="E249" s="1" t="e" cm="1">
        <f t="array" aca="1" ref="E249" ca="1">RIGHT(INDIRECT(ADDRESS(4,2,,,$A249)),5)</f>
        <v>#VALUE!</v>
      </c>
      <c r="F249" s="22">
        <v>1.0335000000000001</v>
      </c>
      <c r="G249" s="22">
        <f t="shared" si="41"/>
        <v>1.0325</v>
      </c>
      <c r="H249" s="7">
        <v>9</v>
      </c>
      <c r="I249" s="7">
        <v>3</v>
      </c>
      <c r="J249" s="26">
        <v>4</v>
      </c>
      <c r="K249" s="26"/>
      <c r="L249" s="26" t="s">
        <v>350</v>
      </c>
      <c r="M249" s="26" t="s">
        <v>351</v>
      </c>
      <c r="N249" s="9" t="str">
        <f>LEFT(INDEX('2026_LPCH_ALLO_RELA_PEDS'!$A$1:$E$30,MATCH($H249,'2026_LPCH_ALLO_RELA_PEDS'!$A$1:$A$30),MATCH(I249,'2026_LPCH_ALLO_RELA_PEDS'!$A$1:$D$1)),30)</f>
        <v>Rate Above Threshold</v>
      </c>
      <c r="O249" s="16">
        <v>0.35</v>
      </c>
      <c r="P249" s="507">
        <f>O249</f>
        <v>0.35</v>
      </c>
      <c r="Q249" s="14" t="s">
        <v>354</v>
      </c>
    </row>
    <row r="250" spans="1:17">
      <c r="A250" s="1" t="e">
        <f ca="1">'2026_LPCH_ALLO_RELA_PEDS'!$A$1</f>
        <v>#VALUE!</v>
      </c>
      <c r="B250" s="14" t="e">
        <f t="shared" ca="1" si="43"/>
        <v>#VALUE!</v>
      </c>
      <c r="C250" s="1" t="s">
        <v>365</v>
      </c>
      <c r="D250" s="4" t="e" cm="1">
        <f t="array" aca="1" ref="D250" ca="1">RIGHT(INDIRECT(ADDRESS(6,2,,,$A250)),6)</f>
        <v>#VALUE!</v>
      </c>
      <c r="E250" s="1" t="e" cm="1">
        <f t="array" aca="1" ref="E250" ca="1">RIGHT(INDIRECT(ADDRESS(4,2,,,$A250)),5)</f>
        <v>#VALUE!</v>
      </c>
      <c r="F250" s="22">
        <v>1.0335000000000001</v>
      </c>
      <c r="G250" s="22">
        <f t="shared" si="41"/>
        <v>1.0325</v>
      </c>
      <c r="H250" s="7">
        <v>10</v>
      </c>
      <c r="I250" s="7">
        <v>3</v>
      </c>
      <c r="J250" s="26">
        <v>4</v>
      </c>
      <c r="K250" s="26"/>
      <c r="L250" s="26" t="s">
        <v>350</v>
      </c>
      <c r="M250" s="26" t="s">
        <v>351</v>
      </c>
      <c r="N250" s="9" t="str">
        <f>LEFT(INDEX('2026_LPCH_ALLO_RELA_PEDS'!$A$1:$E$30,MATCH($H250,'2026_LPCH_ALLO_RELA_PEDS'!$A$1:$A$30),MATCH(I250,'2026_LPCH_ALLO_RELA_PEDS'!$A$1:$D$1)),30)</f>
        <v>Days 61+ through date of disch</v>
      </c>
      <c r="O250" s="16">
        <v>0.35</v>
      </c>
      <c r="P250" s="507">
        <f>O250</f>
        <v>0.35</v>
      </c>
      <c r="Q250" s="14" t="s">
        <v>354</v>
      </c>
    </row>
    <row r="251" spans="1:17">
      <c r="A251" s="1" t="e">
        <f ca="1">'2026_LPCH_ALLO_UNREL_PEDS'!$A$1</f>
        <v>#VALUE!</v>
      </c>
      <c r="B251" s="14" t="e">
        <f t="shared" ca="1" si="43"/>
        <v>#VALUE!</v>
      </c>
      <c r="C251" s="1" t="s">
        <v>365</v>
      </c>
      <c r="D251" s="4" t="e" cm="1">
        <f t="array" aca="1" ref="D251" ca="1">RIGHT(INDIRECT(ADDRESS(6,2,,,$A251)),6)</f>
        <v>#VALUE!</v>
      </c>
      <c r="E251" s="1" t="e" cm="1">
        <f t="array" aca="1" ref="E251" ca="1">RIGHT(INDIRECT(ADDRESS(4,2,,,$A251)),5)</f>
        <v>#VALUE!</v>
      </c>
      <c r="F251" s="22">
        <v>1.0335000000000001</v>
      </c>
      <c r="G251" s="22">
        <f t="shared" si="41"/>
        <v>1.0325</v>
      </c>
      <c r="H251" s="7">
        <v>1</v>
      </c>
      <c r="I251" s="7">
        <v>3</v>
      </c>
      <c r="J251" s="26">
        <v>4</v>
      </c>
      <c r="K251" s="26"/>
      <c r="L251" s="26" t="s">
        <v>350</v>
      </c>
      <c r="M251" s="26" t="s">
        <v>351</v>
      </c>
      <c r="N251" s="9" t="str">
        <f>LEFT(INDEX('2026_LPCH_ALLO_UNREL_PEDS'!$A$1:$E$30,MATCH($H251,'2026_LPCH_ALLO_UNREL_PEDS'!$A$1:$A$30),MATCH(I251,'2026_LPCH_ALLO_UNREL_PEDS'!$A$1:$D$1)),30)</f>
        <v>OUTPATIENT EVALUATION* - Initi</v>
      </c>
      <c r="O251" s="16">
        <v>0.35</v>
      </c>
      <c r="P251" s="507">
        <f t="shared" ref="P251:P253" si="50">O251</f>
        <v>0.35</v>
      </c>
      <c r="Q251" s="14" t="s">
        <v>354</v>
      </c>
    </row>
    <row r="252" spans="1:17">
      <c r="A252" s="1" t="e">
        <f ca="1">'2026_LPCH_ALLO_UNREL_PEDS'!$A$1</f>
        <v>#VALUE!</v>
      </c>
      <c r="B252" s="14" t="e">
        <f t="shared" ca="1" si="43"/>
        <v>#VALUE!</v>
      </c>
      <c r="C252" s="1" t="s">
        <v>365</v>
      </c>
      <c r="D252" s="4" t="e" cm="1">
        <f t="array" aca="1" ref="D252" ca="1">RIGHT(INDIRECT(ADDRESS(6,2,,,$A252)),6)</f>
        <v>#VALUE!</v>
      </c>
      <c r="E252" s="1" t="e" cm="1">
        <f t="array" aca="1" ref="E252" ca="1">RIGHT(INDIRECT(ADDRESS(4,2,,,$A252)),5)</f>
        <v>#VALUE!</v>
      </c>
      <c r="F252" s="22">
        <v>1.0335000000000001</v>
      </c>
      <c r="G252" s="22">
        <f t="shared" si="41"/>
        <v>1.0325</v>
      </c>
      <c r="H252" s="7">
        <v>2</v>
      </c>
      <c r="I252" s="7">
        <v>3</v>
      </c>
      <c r="J252" s="26">
        <v>4</v>
      </c>
      <c r="K252" s="26"/>
      <c r="L252" s="26" t="s">
        <v>350</v>
      </c>
      <c r="M252" s="26" t="s">
        <v>351</v>
      </c>
      <c r="N252" s="9" t="str">
        <f>LEFT(INDEX('2026_LPCH_ALLO_UNREL_PEDS'!$A$1:$E$30,MATCH($H252,'2026_LPCH_ALLO_UNREL_PEDS'!$A$1:$A$30),MATCH(I252,'2026_LPCH_ALLO_UNREL_PEDS'!$A$1:$D$1)),30)</f>
        <v>UNRELATED DONOR SEARCH</v>
      </c>
      <c r="O252" s="16" t="s">
        <v>368</v>
      </c>
      <c r="P252" s="507" t="str">
        <f t="shared" si="50"/>
        <v>100% invoice</v>
      </c>
      <c r="Q252" s="14" t="s">
        <v>354</v>
      </c>
    </row>
    <row r="253" spans="1:17">
      <c r="A253" s="1" t="e">
        <f ca="1">'2026_LPCH_ALLO_UNREL_PEDS'!$A$1</f>
        <v>#VALUE!</v>
      </c>
      <c r="B253" s="14" t="e">
        <f t="shared" ca="1" si="43"/>
        <v>#VALUE!</v>
      </c>
      <c r="C253" s="1" t="s">
        <v>365</v>
      </c>
      <c r="D253" s="4" t="e" cm="1">
        <f t="array" aca="1" ref="D253" ca="1">RIGHT(INDIRECT(ADDRESS(6,2,,,$A253)),6)</f>
        <v>#VALUE!</v>
      </c>
      <c r="E253" s="1" t="e" cm="1">
        <f t="array" aca="1" ref="E253" ca="1">RIGHT(INDIRECT(ADDRESS(4,2,,,$A253)),5)</f>
        <v>#VALUE!</v>
      </c>
      <c r="F253" s="22">
        <v>1.0335000000000001</v>
      </c>
      <c r="G253" s="22">
        <f t="shared" si="41"/>
        <v>1.0325</v>
      </c>
      <c r="H253" s="7">
        <v>3</v>
      </c>
      <c r="I253" s="7">
        <v>3</v>
      </c>
      <c r="J253" s="26">
        <v>4</v>
      </c>
      <c r="K253" s="26"/>
      <c r="L253" s="26" t="s">
        <v>350</v>
      </c>
      <c r="M253" s="26" t="s">
        <v>351</v>
      </c>
      <c r="N253" s="9" t="str">
        <f>LEFT(INDEX('2026_LPCH_ALLO_UNREL_PEDS'!$A$1:$E$30,MATCH($H253,'2026_LPCH_ALLO_UNREL_PEDS'!$A$1:$A$30),MATCH(I253,'2026_LPCH_ALLO_UNREL_PEDS'!$A$1:$D$1)),30)</f>
        <v>DONOR HARVEST (includes stem c</v>
      </c>
      <c r="O253" s="16" t="s">
        <v>368</v>
      </c>
      <c r="P253" s="507" t="str">
        <f t="shared" si="50"/>
        <v>100% invoice</v>
      </c>
      <c r="Q253" s="14" t="s">
        <v>354</v>
      </c>
    </row>
    <row r="254" spans="1:17">
      <c r="A254" s="1" t="e">
        <f ca="1">'2026_LPCH_ALLO_UNREL_PEDS'!$A$1</f>
        <v>#VALUE!</v>
      </c>
      <c r="B254" s="14" t="e">
        <f t="shared" ca="1" si="43"/>
        <v>#VALUE!</v>
      </c>
      <c r="C254" s="1" t="s">
        <v>365</v>
      </c>
      <c r="D254" s="4" t="e" cm="1">
        <f t="array" aca="1" ref="D254" ca="1">RIGHT(INDIRECT(ADDRESS(6,2,,,$A254)),6)</f>
        <v>#VALUE!</v>
      </c>
      <c r="E254" s="1" t="e" cm="1">
        <f t="array" aca="1" ref="E254" ca="1">RIGHT(INDIRECT(ADDRESS(4,2,,,$A254)),5)</f>
        <v>#VALUE!</v>
      </c>
      <c r="F254" s="22">
        <v>1.0335000000000001</v>
      </c>
      <c r="G254" s="22">
        <f t="shared" si="41"/>
        <v>1.0325</v>
      </c>
      <c r="H254" s="7">
        <v>4</v>
      </c>
      <c r="I254" s="7">
        <v>3</v>
      </c>
      <c r="J254" s="26">
        <v>4</v>
      </c>
      <c r="K254" s="26"/>
      <c r="L254" s="26" t="s">
        <v>350</v>
      </c>
      <c r="M254" s="26" t="s">
        <v>351</v>
      </c>
      <c r="N254" s="9" t="str">
        <f>LEFT(INDEX('2026_LPCH_ALLO_UNREL_PEDS'!$A$1:$E$30,MATCH($H254,'2026_LPCH_ALLO_UNREL_PEDS'!$A$1:$A$30),MATCH(I254,'2026_LPCH_ALLO_UNREL_PEDS'!$A$1:$D$1)),30)</f>
        <v>PREP AND TRANSPLANT</v>
      </c>
      <c r="O254" s="16">
        <v>174771</v>
      </c>
      <c r="P254" s="507">
        <f t="shared" ref="P254:P257" si="51">ROUND(O254*$G$2,0)</f>
        <v>180451</v>
      </c>
    </row>
    <row r="255" spans="1:17">
      <c r="A255" s="1" t="e">
        <f ca="1">'2026_LPCH_ALLO_UNREL_PEDS'!$A$1</f>
        <v>#VALUE!</v>
      </c>
      <c r="B255" s="14" t="e">
        <f t="shared" ca="1" si="43"/>
        <v>#VALUE!</v>
      </c>
      <c r="C255" s="1" t="s">
        <v>365</v>
      </c>
      <c r="D255" s="4" t="e" cm="1">
        <f t="array" aca="1" ref="D255" ca="1">RIGHT(INDIRECT(ADDRESS(6,2,,,$A255)),6)</f>
        <v>#VALUE!</v>
      </c>
      <c r="E255" s="1" t="e" cm="1">
        <f t="array" aca="1" ref="E255" ca="1">RIGHT(INDIRECT(ADDRESS(4,2,,,$A255)),5)</f>
        <v>#VALUE!</v>
      </c>
      <c r="F255" s="22">
        <v>1.0335000000000001</v>
      </c>
      <c r="G255" s="22">
        <f t="shared" si="41"/>
        <v>1.0325</v>
      </c>
      <c r="H255" s="7">
        <v>5</v>
      </c>
      <c r="I255" s="7">
        <v>3</v>
      </c>
      <c r="J255" s="26">
        <v>4</v>
      </c>
      <c r="K255" s="26"/>
      <c r="L255" s="26" t="s">
        <v>350</v>
      </c>
      <c r="M255" s="26" t="s">
        <v>351</v>
      </c>
      <c r="N255" s="9" t="str">
        <f>LEFT(INDEX('2026_LPCH_ALLO_UNREL_PEDS'!$A$1:$E$30,MATCH($H255,'2026_LPCH_ALLO_UNREL_PEDS'!$A$1:$A$30),MATCH(I255,'2026_LPCH_ALLO_UNREL_PEDS'!$A$1:$D$1)),30)</f>
        <v>FOLLOW UP CARE - From day 1 po</v>
      </c>
      <c r="O255" s="16">
        <v>233120</v>
      </c>
      <c r="P255" s="507">
        <f t="shared" si="51"/>
        <v>240696</v>
      </c>
    </row>
    <row r="256" spans="1:17">
      <c r="A256" s="1" t="e">
        <f ca="1">'2026_LPCH_ALLO_UNREL_PEDS'!$A$1</f>
        <v>#VALUE!</v>
      </c>
      <c r="B256" s="14" t="e">
        <f t="shared" ca="1" si="43"/>
        <v>#VALUE!</v>
      </c>
      <c r="C256" s="1" t="s">
        <v>365</v>
      </c>
      <c r="D256" s="4" t="e" cm="1">
        <f t="array" aca="1" ref="D256" ca="1">RIGHT(INDIRECT(ADDRESS(6,2,,,$A256)),6)</f>
        <v>#VALUE!</v>
      </c>
      <c r="E256" s="1" t="e" cm="1">
        <f t="array" aca="1" ref="E256" ca="1">RIGHT(INDIRECT(ADDRESS(4,2,,,$A256)),5)</f>
        <v>#VALUE!</v>
      </c>
      <c r="F256" s="22">
        <v>1.0335000000000001</v>
      </c>
      <c r="G256" s="22">
        <f t="shared" si="41"/>
        <v>1.0325</v>
      </c>
      <c r="H256" s="7">
        <v>6</v>
      </c>
      <c r="I256" s="7">
        <v>3</v>
      </c>
      <c r="J256" s="26">
        <v>4</v>
      </c>
      <c r="K256" s="26"/>
      <c r="L256" s="26" t="s">
        <v>350</v>
      </c>
      <c r="M256" s="26" t="s">
        <v>351</v>
      </c>
      <c r="N256" s="9" t="str">
        <f>LEFT(INDEX('2026_LPCH_ALLO_UNREL_PEDS'!$A$1:$E$30,MATCH($H256,'2026_LPCH_ALLO_UNREL_PEDS'!$A$1:$A$30),MATCH(I256,'2026_LPCH_ALLO_UNREL_PEDS'!$A$1:$D$1)),30)</f>
        <v xml:space="preserve">FOLLOW UP CARE - From day 31  </v>
      </c>
      <c r="O256" s="16">
        <v>51477</v>
      </c>
      <c r="P256" s="507">
        <f t="shared" si="51"/>
        <v>53150</v>
      </c>
    </row>
    <row r="257" spans="1:17">
      <c r="A257" s="1" t="e">
        <f ca="1">'2026_LPCH_ALLO_UNREL_PEDS'!$A$1</f>
        <v>#VALUE!</v>
      </c>
      <c r="B257" s="14" t="e">
        <f t="shared" ca="1" si="43"/>
        <v>#VALUE!</v>
      </c>
      <c r="C257" s="1" t="s">
        <v>365</v>
      </c>
      <c r="D257" s="4" t="e" cm="1">
        <f t="array" aca="1" ref="D257" ca="1">RIGHT(INDIRECT(ADDRESS(6,2,,,$A257)),6)</f>
        <v>#VALUE!</v>
      </c>
      <c r="E257" s="1" t="e" cm="1">
        <f t="array" aca="1" ref="E257" ca="1">RIGHT(INDIRECT(ADDRESS(4,2,,,$A257)),5)</f>
        <v>#VALUE!</v>
      </c>
      <c r="F257" s="22">
        <v>1.0335000000000001</v>
      </c>
      <c r="G257" s="22">
        <f t="shared" si="41"/>
        <v>1.0325</v>
      </c>
      <c r="H257" s="7">
        <v>7</v>
      </c>
      <c r="I257" s="7">
        <v>3</v>
      </c>
      <c r="J257" s="26">
        <v>4</v>
      </c>
      <c r="K257" s="26"/>
      <c r="L257" s="26" t="s">
        <v>350</v>
      </c>
      <c r="M257" s="26" t="s">
        <v>351</v>
      </c>
      <c r="N257" s="9" t="str">
        <f>LEFT(INDEX('2026_LPCH_ALLO_UNREL_PEDS'!$A$1:$E$30,MATCH($H257,'2026_LPCH_ALLO_UNREL_PEDS'!$A$1:$A$30),MATCH(I257,'2026_LPCH_ALLO_UNREL_PEDS'!$A$1:$D$1)),30)</f>
        <v>**Autologous Bone Marrow cases</v>
      </c>
      <c r="O257" s="16">
        <v>1263262</v>
      </c>
      <c r="P257" s="507">
        <f t="shared" si="51"/>
        <v>1304318</v>
      </c>
      <c r="Q257" s="14" t="s">
        <v>353</v>
      </c>
    </row>
    <row r="258" spans="1:17">
      <c r="A258" s="1" t="e">
        <f ca="1">'2026_LPCH_ALLO_UNREL_PEDS'!$A$1</f>
        <v>#VALUE!</v>
      </c>
      <c r="B258" s="14" t="e">
        <f t="shared" ca="1" si="43"/>
        <v>#VALUE!</v>
      </c>
      <c r="C258" s="1" t="s">
        <v>365</v>
      </c>
      <c r="D258" s="4" t="e" cm="1">
        <f t="array" aca="1" ref="D258" ca="1">RIGHT(INDIRECT(ADDRESS(6,2,,,$A258)),6)</f>
        <v>#VALUE!</v>
      </c>
      <c r="E258" s="1" t="e" cm="1">
        <f t="array" aca="1" ref="E258" ca="1">RIGHT(INDIRECT(ADDRESS(4,2,,,$A258)),5)</f>
        <v>#VALUE!</v>
      </c>
      <c r="F258" s="22">
        <v>1.0335000000000001</v>
      </c>
      <c r="G258" s="22">
        <f t="shared" si="41"/>
        <v>1.0325</v>
      </c>
      <c r="H258" s="7">
        <v>8</v>
      </c>
      <c r="I258" s="7">
        <v>3</v>
      </c>
      <c r="J258" s="26">
        <v>4</v>
      </c>
      <c r="K258" s="26"/>
      <c r="L258" s="26" t="s">
        <v>350</v>
      </c>
      <c r="M258" s="26" t="s">
        <v>351</v>
      </c>
      <c r="N258" s="9" t="str">
        <f>LEFT(INDEX('2026_LPCH_ALLO_UNREL_PEDS'!$A$1:$E$30,MATCH($H258,'2026_LPCH_ALLO_UNREL_PEDS'!$A$1:$A$30),MATCH(I258,'2026_LPCH_ALLO_UNREL_PEDS'!$A$1:$D$1)),30)</f>
        <v>Rate Above Threshold</v>
      </c>
      <c r="O258" s="16">
        <v>0.35</v>
      </c>
      <c r="P258" s="507">
        <f t="shared" ref="P258:P259" si="52">O258</f>
        <v>0.35</v>
      </c>
      <c r="Q258" s="14" t="s">
        <v>354</v>
      </c>
    </row>
    <row r="259" spans="1:17">
      <c r="A259" s="1" t="e">
        <f ca="1">'2026_LPCH_ALLO_UNREL_PEDS'!$A$1</f>
        <v>#VALUE!</v>
      </c>
      <c r="B259" s="14" t="e">
        <f t="shared" ca="1" si="43"/>
        <v>#VALUE!</v>
      </c>
      <c r="C259" s="1" t="s">
        <v>365</v>
      </c>
      <c r="D259" s="4" t="e" cm="1">
        <f t="array" aca="1" ref="D259" ca="1">RIGHT(INDIRECT(ADDRESS(6,2,,,$A259)),6)</f>
        <v>#VALUE!</v>
      </c>
      <c r="E259" s="1" t="e" cm="1">
        <f t="array" aca="1" ref="E259" ca="1">RIGHT(INDIRECT(ADDRESS(4,2,,,$A259)),5)</f>
        <v>#VALUE!</v>
      </c>
      <c r="F259" s="22">
        <v>1.0335000000000001</v>
      </c>
      <c r="G259" s="22">
        <f t="shared" si="41"/>
        <v>1.0325</v>
      </c>
      <c r="H259" s="7">
        <v>9</v>
      </c>
      <c r="I259" s="7">
        <v>3</v>
      </c>
      <c r="J259" s="26">
        <v>4</v>
      </c>
      <c r="K259" s="26"/>
      <c r="L259" s="26" t="s">
        <v>350</v>
      </c>
      <c r="M259" s="26" t="s">
        <v>351</v>
      </c>
      <c r="N259" s="9" t="str">
        <f>LEFT(INDEX('2026_LPCH_ALLO_UNREL_PEDS'!$A$1:$E$30,MATCH($H259,'2026_LPCH_ALLO_UNREL_PEDS'!$A$1:$A$30),MATCH(I259,'2026_LPCH_ALLO_UNREL_PEDS'!$A$1:$D$1)),30)</f>
        <v>Days 61+ through date of disch</v>
      </c>
      <c r="O259" s="16">
        <v>0.35</v>
      </c>
      <c r="P259" s="507">
        <f t="shared" si="52"/>
        <v>0.35</v>
      </c>
      <c r="Q259" s="14" t="s">
        <v>354</v>
      </c>
    </row>
    <row r="260" spans="1:17">
      <c r="A260" s="1" t="e">
        <f ca="1">'2026_LPCH_TBI_PED'!$A$1</f>
        <v>#VALUE!</v>
      </c>
      <c r="B260" s="14" t="e">
        <f t="shared" ca="1" si="43"/>
        <v>#VALUE!</v>
      </c>
      <c r="C260" s="1" t="s">
        <v>365</v>
      </c>
      <c r="D260" s="4" t="e" cm="1">
        <f t="array" aca="1" ref="D260" ca="1">RIGHT(INDIRECT(ADDRESS(6,2,,,$A260)),6)</f>
        <v>#VALUE!</v>
      </c>
      <c r="E260" s="1" t="e" cm="1">
        <f t="array" aca="1" ref="E260" ca="1">RIGHT(INDIRECT(ADDRESS(4,2,,,$A260)),5)</f>
        <v>#VALUE!</v>
      </c>
      <c r="F260" s="22">
        <v>1.0335000000000001</v>
      </c>
      <c r="G260" s="22">
        <f t="shared" si="41"/>
        <v>1.0325</v>
      </c>
      <c r="H260" s="7">
        <v>1</v>
      </c>
      <c r="I260" s="7">
        <v>3</v>
      </c>
      <c r="J260" s="26">
        <v>4</v>
      </c>
      <c r="K260" s="26"/>
      <c r="L260" s="26" t="s">
        <v>350</v>
      </c>
      <c r="M260" s="26" t="s">
        <v>351</v>
      </c>
      <c r="N260" s="9" t="str">
        <f>LEFT(INDEX('2026_LPCH_TBI_PED'!$A$1:$E$30,MATCH($H260,'2026_LPCH_TBI_PED'!$A$1:$A$30),MATCH(I260,'2026_LPCH_TBI_PED'!$A$1:$D$1)),30)</f>
        <v xml:space="preserve">TOTAL BODY IRRADIATION (TBI)  </v>
      </c>
      <c r="O260" s="16">
        <v>7818</v>
      </c>
      <c r="P260" s="507">
        <f t="shared" ref="P260" si="53">ROUND(O260*$G$2,0)</f>
        <v>8072</v>
      </c>
    </row>
    <row r="261" spans="1:17">
      <c r="A261" s="1" t="e">
        <f ca="1">'2026_LPCH_Living_Liver'!$A$1</f>
        <v>#VALUE!</v>
      </c>
      <c r="B261" s="14" t="e">
        <f t="shared" ca="1" si="43"/>
        <v>#VALUE!</v>
      </c>
      <c r="C261" s="1" t="s">
        <v>365</v>
      </c>
      <c r="D261" s="20" t="e" cm="1">
        <f t="array" aca="1" ref="D261" ca="1">RIGHT(INDIRECT(ADDRESS(7,2,,,$A261)),6)</f>
        <v>#VALUE!</v>
      </c>
      <c r="E261" s="1" t="e" cm="1">
        <f t="array" aca="1" ref="E261" ca="1">RIGHT(INDIRECT(ADDRESS(4,2,,,$A261)),5)</f>
        <v>#VALUE!</v>
      </c>
      <c r="F261" s="22">
        <v>1.0335000000000001</v>
      </c>
      <c r="G261" s="22">
        <f t="shared" ref="G261:G324" si="54">$G$2</f>
        <v>1.0325</v>
      </c>
      <c r="H261" s="7">
        <v>1</v>
      </c>
      <c r="I261" s="7">
        <v>3</v>
      </c>
      <c r="J261" s="26">
        <v>4</v>
      </c>
      <c r="K261" s="26"/>
      <c r="L261" s="26" t="s">
        <v>350</v>
      </c>
      <c r="M261" s="26" t="s">
        <v>351</v>
      </c>
      <c r="N261" s="9" t="str">
        <f>LEFT(INDEX('2026_LPCH_Living_Liver'!$A$1:$E$30,MATCH($H261,'2026_LPCH_Living_Liver'!$A$1:$A$30),MATCH(I261,'2026_LPCH_Living_Liver'!$A$1:$D$1)),30)</f>
        <v>EVALUATION (Inpatient or outpa</v>
      </c>
      <c r="O261" s="16" t="s">
        <v>369</v>
      </c>
      <c r="P261" s="507" t="str">
        <f t="shared" ref="P261" si="55">O261</f>
        <v>35% of billed charges</v>
      </c>
      <c r="Q261" s="14" t="s">
        <v>354</v>
      </c>
    </row>
    <row r="262" spans="1:17">
      <c r="A262" s="1" t="e">
        <f ca="1">'2026_LPCH_Living_Liver'!$A$1</f>
        <v>#VALUE!</v>
      </c>
      <c r="B262" s="14" t="e">
        <f t="shared" ca="1" si="43"/>
        <v>#VALUE!</v>
      </c>
      <c r="C262" s="1" t="s">
        <v>365</v>
      </c>
      <c r="D262" s="20" t="e" cm="1">
        <f t="array" aca="1" ref="D262" ca="1">RIGHT(INDIRECT(ADDRESS(7,2,,,$A262)),6)</f>
        <v>#VALUE!</v>
      </c>
      <c r="E262" s="1" t="e" cm="1">
        <f t="array" aca="1" ref="E262" ca="1">RIGHT(INDIRECT(ADDRESS(4,2,,,$A262)),5)</f>
        <v>#VALUE!</v>
      </c>
      <c r="F262" s="22">
        <v>1.0335000000000001</v>
      </c>
      <c r="G262" s="22">
        <f t="shared" si="54"/>
        <v>1.0325</v>
      </c>
      <c r="H262" s="7">
        <v>2</v>
      </c>
      <c r="I262" s="7">
        <v>3</v>
      </c>
      <c r="J262" s="26">
        <v>4</v>
      </c>
      <c r="K262" s="26"/>
      <c r="L262" s="26" t="s">
        <v>350</v>
      </c>
      <c r="M262" s="26" t="s">
        <v>351</v>
      </c>
      <c r="N262" s="9" t="str">
        <f>LEFT(INDEX('2026_LPCH_Living_Liver'!$A$1:$E$30,MATCH($H262,'2026_LPCH_Living_Liver'!$A$1:$A$30),MATCH(I262,'2026_LPCH_Living_Liver'!$A$1:$D$1)),30)</f>
        <v>PREP AND TRANSPLANT</v>
      </c>
      <c r="O262" s="16">
        <v>287691</v>
      </c>
      <c r="P262" s="507">
        <f t="shared" ref="P262:P266" si="56">ROUND(O262*$G$2,0)</f>
        <v>297041</v>
      </c>
    </row>
    <row r="263" spans="1:17">
      <c r="A263" s="1" t="e">
        <f ca="1">'2026_LPCH_Living_Liver'!$A$1</f>
        <v>#VALUE!</v>
      </c>
      <c r="B263" s="14" t="e">
        <f t="shared" ca="1" si="43"/>
        <v>#VALUE!</v>
      </c>
      <c r="C263" s="1" t="s">
        <v>365</v>
      </c>
      <c r="D263" s="20" t="e" cm="1">
        <f t="array" aca="1" ref="D263" ca="1">RIGHT(INDIRECT(ADDRESS(7,2,,,$A263)),6)</f>
        <v>#VALUE!</v>
      </c>
      <c r="E263" s="1" t="e" cm="1">
        <f t="array" aca="1" ref="E263" ca="1">RIGHT(INDIRECT(ADDRESS(4,2,,,$A263)),5)</f>
        <v>#VALUE!</v>
      </c>
      <c r="F263" s="22">
        <v>1.0335000000000001</v>
      </c>
      <c r="G263" s="22">
        <f t="shared" si="54"/>
        <v>1.0325</v>
      </c>
      <c r="H263" s="7">
        <v>3</v>
      </c>
      <c r="I263" s="7">
        <v>3</v>
      </c>
      <c r="J263" s="26">
        <v>4</v>
      </c>
      <c r="K263" s="26"/>
      <c r="L263" s="26" t="s">
        <v>350</v>
      </c>
      <c r="M263" s="26" t="s">
        <v>351</v>
      </c>
      <c r="N263" s="9" t="str">
        <f>LEFT(INDEX('2026_LPCH_Living_Liver'!$A$1:$E$30,MATCH($H263,'2026_LPCH_Living_Liver'!$A$1:$A$30),MATCH(I263,'2026_LPCH_Living_Liver'!$A$1:$D$1)),30)</f>
        <v>FOLLOW UP CARE - From day 1 po</v>
      </c>
      <c r="O263" s="16">
        <v>232894</v>
      </c>
      <c r="P263" s="507">
        <f t="shared" si="56"/>
        <v>240463</v>
      </c>
    </row>
    <row r="264" spans="1:17">
      <c r="A264" s="1" t="e">
        <f ca="1">'2026_LPCH_Living_Liver'!$A$1</f>
        <v>#VALUE!</v>
      </c>
      <c r="B264" s="14" t="e">
        <f t="shared" ca="1" si="43"/>
        <v>#VALUE!</v>
      </c>
      <c r="C264" s="1" t="s">
        <v>365</v>
      </c>
      <c r="D264" s="20" t="e" cm="1">
        <f t="array" aca="1" ref="D264" ca="1">RIGHT(INDIRECT(ADDRESS(7,2,,,$A264)),6)</f>
        <v>#VALUE!</v>
      </c>
      <c r="E264" s="1" t="e" cm="1">
        <f t="array" aca="1" ref="E264" ca="1">RIGHT(INDIRECT(ADDRESS(4,2,,,$A264)),5)</f>
        <v>#VALUE!</v>
      </c>
      <c r="F264" s="22">
        <v>1.0335000000000001</v>
      </c>
      <c r="G264" s="22">
        <f t="shared" si="54"/>
        <v>1.0325</v>
      </c>
      <c r="H264" s="7">
        <v>4</v>
      </c>
      <c r="I264" s="7">
        <v>3</v>
      </c>
      <c r="J264" s="26">
        <v>4</v>
      </c>
      <c r="K264" s="26"/>
      <c r="L264" s="26" t="s">
        <v>350</v>
      </c>
      <c r="M264" s="26" t="s">
        <v>351</v>
      </c>
      <c r="N264" s="9" t="str">
        <f>LEFT(INDEX('2026_LPCH_Living_Liver'!$A$1:$E$30,MATCH($H264,'2026_LPCH_Living_Liver'!$A$1:$A$30),MATCH(I264,'2026_LPCH_Living_Liver'!$A$1:$D$1)),30)</f>
        <v>FOLLOW UP CARE - From day 31 p</v>
      </c>
      <c r="O264" s="16">
        <v>13698</v>
      </c>
      <c r="P264" s="507">
        <f t="shared" si="56"/>
        <v>14143</v>
      </c>
    </row>
    <row r="265" spans="1:17">
      <c r="A265" s="1" t="e">
        <f ca="1">'2026_LPCH_Living_Liver'!$A$1</f>
        <v>#VALUE!</v>
      </c>
      <c r="B265" s="14" t="e">
        <f t="shared" ca="1" si="43"/>
        <v>#VALUE!</v>
      </c>
      <c r="C265" s="1" t="s">
        <v>365</v>
      </c>
      <c r="D265" s="20" t="e" cm="1">
        <f t="array" aca="1" ref="D265" ca="1">RIGHT(INDIRECT(ADDRESS(7,2,,,$A265)),6)</f>
        <v>#VALUE!</v>
      </c>
      <c r="E265" s="1" t="e" cm="1">
        <f t="array" aca="1" ref="E265" ca="1">RIGHT(INDIRECT(ADDRESS(4,2,,,$A265)),5)</f>
        <v>#VALUE!</v>
      </c>
      <c r="F265" s="22">
        <v>1.0335000000000001</v>
      </c>
      <c r="G265" s="22">
        <f t="shared" si="54"/>
        <v>1.0325</v>
      </c>
      <c r="H265" s="7">
        <v>5</v>
      </c>
      <c r="I265" s="7">
        <v>3</v>
      </c>
      <c r="J265" s="26">
        <v>4</v>
      </c>
      <c r="K265" s="26"/>
      <c r="L265" s="26" t="s">
        <v>350</v>
      </c>
      <c r="M265" s="26" t="s">
        <v>351</v>
      </c>
      <c r="N265" s="9" t="str">
        <f>LEFT(INDEX('2026_LPCH_Living_Liver'!$A$1:$E$30,MATCH($H265,'2026_LPCH_Living_Liver'!$A$1:$A$30),MATCH(I265,'2026_LPCH_Living_Liver'!$A$1:$D$1)),30)</f>
        <v>LIVING DONOR SURGERY AND INPAT</v>
      </c>
      <c r="O265" s="16">
        <v>19378</v>
      </c>
      <c r="P265" s="507">
        <f t="shared" si="56"/>
        <v>20008</v>
      </c>
    </row>
    <row r="266" spans="1:17">
      <c r="A266" s="1" t="e">
        <f ca="1">'2026_LPCH_Living_Liver'!$A$1</f>
        <v>#VALUE!</v>
      </c>
      <c r="B266" s="14" t="e">
        <f t="shared" ca="1" si="43"/>
        <v>#VALUE!</v>
      </c>
      <c r="C266" s="1" t="s">
        <v>365</v>
      </c>
      <c r="D266" s="20" t="e" cm="1">
        <f t="array" aca="1" ref="D266" ca="1">RIGHT(INDIRECT(ADDRESS(7,2,,,$A266)),6)</f>
        <v>#VALUE!</v>
      </c>
      <c r="E266" s="1" t="e" cm="1">
        <f t="array" aca="1" ref="E266" ca="1">RIGHT(INDIRECT(ADDRESS(4,2,,,$A266)),5)</f>
        <v>#VALUE!</v>
      </c>
      <c r="F266" s="22">
        <v>1.0335000000000001</v>
      </c>
      <c r="G266" s="22">
        <f t="shared" si="54"/>
        <v>1.0325</v>
      </c>
      <c r="H266" s="7">
        <v>6</v>
      </c>
      <c r="I266" s="7">
        <v>3</v>
      </c>
      <c r="J266" s="26">
        <v>4</v>
      </c>
      <c r="K266" s="26"/>
      <c r="L266" s="26" t="s">
        <v>350</v>
      </c>
      <c r="M266" s="26" t="s">
        <v>351</v>
      </c>
      <c r="N266" s="9" t="str">
        <f>LEFT(INDEX('2026_LPCH_Living_Liver'!$A$1:$E$30,MATCH($H266,'2026_LPCH_Living_Liver'!$A$1:$A$30),MATCH(I266,'2026_LPCH_Living_Liver'!$A$1:$D$1)),30)</f>
        <v>Liver cases will be reimbursed</v>
      </c>
      <c r="O266" s="16">
        <v>1348404</v>
      </c>
      <c r="P266" s="507">
        <f t="shared" si="56"/>
        <v>1392227</v>
      </c>
      <c r="Q266" s="14" t="s">
        <v>353</v>
      </c>
    </row>
    <row r="267" spans="1:17">
      <c r="A267" s="1" t="e">
        <f ca="1">'2026_LPCH_Living_Liver'!$A$1</f>
        <v>#VALUE!</v>
      </c>
      <c r="B267" s="14" t="e">
        <f t="shared" ca="1" si="43"/>
        <v>#VALUE!</v>
      </c>
      <c r="C267" s="1" t="s">
        <v>365</v>
      </c>
      <c r="D267" s="20" t="e" cm="1">
        <f t="array" aca="1" ref="D267" ca="1">RIGHT(INDIRECT(ADDRESS(7,2,,,$A267)),6)</f>
        <v>#VALUE!</v>
      </c>
      <c r="E267" s="1" t="e" cm="1">
        <f t="array" aca="1" ref="E267" ca="1">RIGHT(INDIRECT(ADDRESS(4,2,,,$A267)),5)</f>
        <v>#VALUE!</v>
      </c>
      <c r="F267" s="22">
        <v>1.0335000000000001</v>
      </c>
      <c r="G267" s="22">
        <f t="shared" si="54"/>
        <v>1.0325</v>
      </c>
      <c r="H267" s="7">
        <v>7</v>
      </c>
      <c r="I267" s="7">
        <v>3</v>
      </c>
      <c r="J267" s="26">
        <v>4</v>
      </c>
      <c r="K267" s="26"/>
      <c r="L267" s="26" t="s">
        <v>350</v>
      </c>
      <c r="M267" s="26" t="s">
        <v>351</v>
      </c>
      <c r="N267" s="9" t="str">
        <f>LEFT(INDEX('2026_LPCH_Living_Liver'!$A$1:$E$30,MATCH($H267,'2026_LPCH_Living_Liver'!$A$1:$A$30),MATCH(I267,'2026_LPCH_Living_Liver'!$A$1:$D$1)),30)</f>
        <v>Rate Above Threshold</v>
      </c>
      <c r="O267" s="16">
        <v>0.35</v>
      </c>
      <c r="P267" s="507">
        <f t="shared" ref="P267:P269" si="57">O267</f>
        <v>0.35</v>
      </c>
      <c r="Q267" s="14" t="s">
        <v>354</v>
      </c>
    </row>
    <row r="268" spans="1:17">
      <c r="A268" s="1" t="e">
        <f ca="1">'2026_LPCH_Living_Liver'!$A$1</f>
        <v>#VALUE!</v>
      </c>
      <c r="B268" s="14" t="e">
        <f t="shared" ca="1" si="43"/>
        <v>#VALUE!</v>
      </c>
      <c r="C268" s="1" t="s">
        <v>365</v>
      </c>
      <c r="D268" s="20" t="e" cm="1">
        <f t="array" aca="1" ref="D268" ca="1">RIGHT(INDIRECT(ADDRESS(7,2,,,$A268)),6)</f>
        <v>#VALUE!</v>
      </c>
      <c r="E268" s="1" t="e" cm="1">
        <f t="array" aca="1" ref="E268" ca="1">RIGHT(INDIRECT(ADDRESS(4,2,,,$A268)),5)</f>
        <v>#VALUE!</v>
      </c>
      <c r="F268" s="22">
        <v>1.0335000000000001</v>
      </c>
      <c r="G268" s="22">
        <f t="shared" si="54"/>
        <v>1.0325</v>
      </c>
      <c r="H268" s="7">
        <v>8</v>
      </c>
      <c r="I268" s="7">
        <v>3</v>
      </c>
      <c r="J268" s="26">
        <v>4</v>
      </c>
      <c r="K268" s="26"/>
      <c r="L268" s="26" t="s">
        <v>350</v>
      </c>
      <c r="M268" s="26" t="s">
        <v>351</v>
      </c>
      <c r="N268" s="9" t="str">
        <f>LEFT(INDEX('2026_LPCH_Living_Liver'!$A$1:$E$30,MATCH($H268,'2026_LPCH_Living_Liver'!$A$1:$A$30),MATCH(I268,'2026_LPCH_Living_Liver'!$A$1:$D$1)),30)</f>
        <v>Days 61+ through date of disch</v>
      </c>
      <c r="O268" s="16">
        <v>0.35</v>
      </c>
      <c r="P268" s="507">
        <f t="shared" si="57"/>
        <v>0.35</v>
      </c>
      <c r="Q268" s="14" t="s">
        <v>354</v>
      </c>
    </row>
    <row r="269" spans="1:17">
      <c r="A269" s="1" t="e">
        <f ca="1">'2026_LPCH_CAD_Liver'!$A$1</f>
        <v>#VALUE!</v>
      </c>
      <c r="B269" s="14" t="e">
        <f t="shared" ca="1" si="43"/>
        <v>#VALUE!</v>
      </c>
      <c r="C269" s="1" t="s">
        <v>365</v>
      </c>
      <c r="D269" s="20" t="e" cm="1">
        <f t="array" aca="1" ref="D269" ca="1">RIGHT(INDIRECT(ADDRESS(7,2,,,$A269)),6)</f>
        <v>#VALUE!</v>
      </c>
      <c r="E269" s="1" t="e" cm="1">
        <f t="array" aca="1" ref="E269" ca="1">RIGHT(INDIRECT(ADDRESS(4,2,,,$A269)),5)</f>
        <v>#VALUE!</v>
      </c>
      <c r="F269" s="22">
        <v>1.0335000000000001</v>
      </c>
      <c r="G269" s="22">
        <f t="shared" si="54"/>
        <v>1.0325</v>
      </c>
      <c r="H269" s="7">
        <v>1</v>
      </c>
      <c r="I269" s="7">
        <v>3</v>
      </c>
      <c r="J269" s="26">
        <v>4</v>
      </c>
      <c r="K269" s="26"/>
      <c r="L269" s="26" t="s">
        <v>350</v>
      </c>
      <c r="M269" s="26" t="s">
        <v>351</v>
      </c>
      <c r="N269" s="9" t="str">
        <f>LEFT(INDEX('2026_LPCH_CAD_Liver'!$A$1:$E$30,MATCH($H269,'2026_LPCH_CAD_Liver'!$A$1:$A$30),MATCH(I269,'2026_LPCH_CAD_Liver'!$A$1:$D$1)),30)</f>
        <v>EVALUATION (Inpatient or outpa</v>
      </c>
      <c r="O269" s="16" t="s">
        <v>369</v>
      </c>
      <c r="P269" s="507" t="str">
        <f t="shared" si="57"/>
        <v>35% of billed charges</v>
      </c>
      <c r="Q269" s="14" t="s">
        <v>354</v>
      </c>
    </row>
    <row r="270" spans="1:17">
      <c r="A270" s="1" t="e">
        <f ca="1">'2026_LPCH_CAD_Liver'!$A$1</f>
        <v>#VALUE!</v>
      </c>
      <c r="B270" s="14" t="e">
        <f t="shared" ca="1" si="43"/>
        <v>#VALUE!</v>
      </c>
      <c r="C270" s="1" t="s">
        <v>365</v>
      </c>
      <c r="D270" s="20" t="e" cm="1">
        <f t="array" aca="1" ref="D270" ca="1">RIGHT(INDIRECT(ADDRESS(7,2,,,$A270)),6)</f>
        <v>#VALUE!</v>
      </c>
      <c r="E270" s="1" t="e" cm="1">
        <f t="array" aca="1" ref="E270" ca="1">RIGHT(INDIRECT(ADDRESS(4,2,,,$A270)),5)</f>
        <v>#VALUE!</v>
      </c>
      <c r="F270" s="22">
        <v>1.0335000000000001</v>
      </c>
      <c r="G270" s="22">
        <f t="shared" si="54"/>
        <v>1.0325</v>
      </c>
      <c r="H270" s="7">
        <v>2</v>
      </c>
      <c r="I270" s="7">
        <v>3</v>
      </c>
      <c r="J270" s="26">
        <v>4</v>
      </c>
      <c r="K270" s="26"/>
      <c r="L270" s="26" t="s">
        <v>350</v>
      </c>
      <c r="M270" s="26" t="s">
        <v>351</v>
      </c>
      <c r="N270" s="9" t="str">
        <f>LEFT(INDEX('2026_LPCH_CAD_Liver'!$A$1:$E$30,MATCH($H270,'2026_LPCH_CAD_Liver'!$A$1:$A$30),MATCH(I270,'2026_LPCH_CAD_Liver'!$A$1:$D$1)),30)</f>
        <v>PREP AND TRANSPLANT</v>
      </c>
      <c r="O270" s="16">
        <v>287691</v>
      </c>
      <c r="P270" s="507">
        <f t="shared" ref="P270:P273" si="58">ROUND(O270*$G$2,0)</f>
        <v>297041</v>
      </c>
    </row>
    <row r="271" spans="1:17">
      <c r="A271" s="1" t="e">
        <f ca="1">'2026_LPCH_CAD_Liver'!$A$1</f>
        <v>#VALUE!</v>
      </c>
      <c r="B271" s="14" t="e">
        <f t="shared" ca="1" si="43"/>
        <v>#VALUE!</v>
      </c>
      <c r="C271" s="1" t="s">
        <v>365</v>
      </c>
      <c r="D271" s="20" t="e" cm="1">
        <f t="array" aca="1" ref="D271" ca="1">RIGHT(INDIRECT(ADDRESS(7,2,,,$A271)),6)</f>
        <v>#VALUE!</v>
      </c>
      <c r="E271" s="1" t="e" cm="1">
        <f t="array" aca="1" ref="E271" ca="1">RIGHT(INDIRECT(ADDRESS(4,2,,,$A271)),5)</f>
        <v>#VALUE!</v>
      </c>
      <c r="F271" s="22">
        <v>1.0335000000000001</v>
      </c>
      <c r="G271" s="22">
        <f t="shared" si="54"/>
        <v>1.0325</v>
      </c>
      <c r="H271" s="7">
        <v>3</v>
      </c>
      <c r="I271" s="7">
        <v>3</v>
      </c>
      <c r="J271" s="26">
        <v>4</v>
      </c>
      <c r="K271" s="26"/>
      <c r="L271" s="26" t="s">
        <v>350</v>
      </c>
      <c r="M271" s="26" t="s">
        <v>351</v>
      </c>
      <c r="N271" s="9" t="str">
        <f>LEFT(INDEX('2026_LPCH_CAD_Liver'!$A$1:$E$30,MATCH($H271,'2026_LPCH_CAD_Liver'!$A$1:$A$30),MATCH(I271,'2026_LPCH_CAD_Liver'!$A$1:$D$1)),30)</f>
        <v>FOLLOW UP CARE - From day 1 po</v>
      </c>
      <c r="O271" s="16">
        <v>232894</v>
      </c>
      <c r="P271" s="507">
        <f t="shared" si="58"/>
        <v>240463</v>
      </c>
    </row>
    <row r="272" spans="1:17">
      <c r="A272" s="1" t="e">
        <f ca="1">'2026_LPCH_CAD_Liver'!$A$1</f>
        <v>#VALUE!</v>
      </c>
      <c r="B272" s="14" t="e">
        <f t="shared" ca="1" si="43"/>
        <v>#VALUE!</v>
      </c>
      <c r="C272" s="1" t="s">
        <v>365</v>
      </c>
      <c r="D272" s="20" t="e" cm="1">
        <f t="array" aca="1" ref="D272" ca="1">RIGHT(INDIRECT(ADDRESS(7,2,,,$A272)),6)</f>
        <v>#VALUE!</v>
      </c>
      <c r="E272" s="1" t="e" cm="1">
        <f t="array" aca="1" ref="E272" ca="1">RIGHT(INDIRECT(ADDRESS(4,2,,,$A272)),5)</f>
        <v>#VALUE!</v>
      </c>
      <c r="F272" s="22">
        <v>1.0335000000000001</v>
      </c>
      <c r="G272" s="22">
        <f t="shared" si="54"/>
        <v>1.0325</v>
      </c>
      <c r="H272" s="7">
        <v>4</v>
      </c>
      <c r="I272" s="7">
        <v>3</v>
      </c>
      <c r="J272" s="26">
        <v>4</v>
      </c>
      <c r="K272" s="26"/>
      <c r="L272" s="26" t="s">
        <v>350</v>
      </c>
      <c r="M272" s="26" t="s">
        <v>351</v>
      </c>
      <c r="N272" s="9" t="str">
        <f>LEFT(INDEX('2026_LPCH_CAD_Liver'!$A$1:$E$30,MATCH($H272,'2026_LPCH_CAD_Liver'!$A$1:$A$30),MATCH(I272,'2026_LPCH_CAD_Liver'!$A$1:$D$1)),30)</f>
        <v>FOLLOW UP CARE - From day 31 p</v>
      </c>
      <c r="O272" s="16">
        <v>13698</v>
      </c>
      <c r="P272" s="507">
        <f t="shared" si="58"/>
        <v>14143</v>
      </c>
    </row>
    <row r="273" spans="1:17">
      <c r="A273" s="1" t="e">
        <f ca="1">'2026_LPCH_CAD_Liver'!$A$1</f>
        <v>#VALUE!</v>
      </c>
      <c r="B273" s="14" t="e">
        <f t="shared" ca="1" si="43"/>
        <v>#VALUE!</v>
      </c>
      <c r="C273" s="1" t="s">
        <v>365</v>
      </c>
      <c r="D273" s="20" t="e" cm="1">
        <f t="array" aca="1" ref="D273" ca="1">RIGHT(INDIRECT(ADDRESS(7,2,,,$A273)),6)</f>
        <v>#VALUE!</v>
      </c>
      <c r="E273" s="1" t="e" cm="1">
        <f t="array" aca="1" ref="E273" ca="1">RIGHT(INDIRECT(ADDRESS(4,2,,,$A273)),5)</f>
        <v>#VALUE!</v>
      </c>
      <c r="F273" s="22">
        <v>1.0335000000000001</v>
      </c>
      <c r="G273" s="22">
        <f t="shared" si="54"/>
        <v>1.0325</v>
      </c>
      <c r="H273" s="7">
        <v>5</v>
      </c>
      <c r="I273" s="7">
        <v>3</v>
      </c>
      <c r="J273" s="26">
        <v>4</v>
      </c>
      <c r="K273" s="26"/>
      <c r="L273" s="26" t="s">
        <v>350</v>
      </c>
      <c r="M273" s="26" t="s">
        <v>351</v>
      </c>
      <c r="N273" s="9" t="str">
        <f>LEFT(INDEX('2026_LPCH_CAD_Liver'!$A$1:$E$30,MATCH($H273,'2026_LPCH_CAD_Liver'!$A$1:$A$30),MATCH(I273,'2026_LPCH_CAD_Liver'!$A$1:$D$1)),30)</f>
        <v>Liver cases will be reimbursed</v>
      </c>
      <c r="O273" s="16">
        <v>1348404</v>
      </c>
      <c r="P273" s="507">
        <f t="shared" si="58"/>
        <v>1392227</v>
      </c>
      <c r="Q273" s="14" t="s">
        <v>353</v>
      </c>
    </row>
    <row r="274" spans="1:17">
      <c r="A274" s="1" t="e">
        <f ca="1">'2026_LPCH_CAD_Liver'!$A$1</f>
        <v>#VALUE!</v>
      </c>
      <c r="B274" s="14" t="e">
        <f t="shared" ca="1" si="43"/>
        <v>#VALUE!</v>
      </c>
      <c r="C274" s="1" t="s">
        <v>365</v>
      </c>
      <c r="D274" s="20" t="e" cm="1">
        <f t="array" aca="1" ref="D274" ca="1">RIGHT(INDIRECT(ADDRESS(7,2,,,$A274)),6)</f>
        <v>#VALUE!</v>
      </c>
      <c r="E274" s="1" t="e" cm="1">
        <f t="array" aca="1" ref="E274" ca="1">RIGHT(INDIRECT(ADDRESS(4,2,,,$A274)),5)</f>
        <v>#VALUE!</v>
      </c>
      <c r="F274" s="22">
        <v>1.0335000000000001</v>
      </c>
      <c r="G274" s="22">
        <f t="shared" si="54"/>
        <v>1.0325</v>
      </c>
      <c r="H274" s="7">
        <v>6</v>
      </c>
      <c r="I274" s="7">
        <v>3</v>
      </c>
      <c r="J274" s="26">
        <v>4</v>
      </c>
      <c r="K274" s="26"/>
      <c r="L274" s="26" t="s">
        <v>350</v>
      </c>
      <c r="M274" s="26" t="s">
        <v>351</v>
      </c>
      <c r="N274" s="9" t="str">
        <f>LEFT(INDEX('2026_LPCH_CAD_Liver'!$A$1:$E$30,MATCH($H274,'2026_LPCH_CAD_Liver'!$A$1:$A$30),MATCH(I274,'2026_LPCH_CAD_Liver'!$A$1:$D$1)),30)</f>
        <v>Rate Above Threshold</v>
      </c>
      <c r="O274" s="16">
        <v>0.35</v>
      </c>
      <c r="P274" s="507">
        <f t="shared" ref="P274:P276" si="59">O274</f>
        <v>0.35</v>
      </c>
      <c r="Q274" s="14" t="s">
        <v>354</v>
      </c>
    </row>
    <row r="275" spans="1:17">
      <c r="A275" s="1" t="e">
        <f ca="1">'2026_LPCH_CAD_Liver'!$A$1</f>
        <v>#VALUE!</v>
      </c>
      <c r="B275" s="14" t="e">
        <f t="shared" ca="1" si="43"/>
        <v>#VALUE!</v>
      </c>
      <c r="C275" s="1" t="s">
        <v>365</v>
      </c>
      <c r="D275" s="20" t="e" cm="1">
        <f t="array" aca="1" ref="D275" ca="1">RIGHT(INDIRECT(ADDRESS(7,2,,,$A275)),6)</f>
        <v>#VALUE!</v>
      </c>
      <c r="E275" s="1" t="e" cm="1">
        <f t="array" aca="1" ref="E275" ca="1">RIGHT(INDIRECT(ADDRESS(4,2,,,$A275)),5)</f>
        <v>#VALUE!</v>
      </c>
      <c r="F275" s="22">
        <v>1.0335000000000001</v>
      </c>
      <c r="G275" s="22">
        <f t="shared" si="54"/>
        <v>1.0325</v>
      </c>
      <c r="H275" s="7">
        <v>7</v>
      </c>
      <c r="I275" s="7">
        <v>3</v>
      </c>
      <c r="J275" s="26">
        <v>4</v>
      </c>
      <c r="K275" s="26"/>
      <c r="L275" s="26" t="s">
        <v>350</v>
      </c>
      <c r="M275" s="26" t="s">
        <v>351</v>
      </c>
      <c r="N275" s="9" t="str">
        <f>LEFT(INDEX('2026_LPCH_CAD_Liver'!$A$1:$E$30,MATCH($H275,'2026_LPCH_CAD_Liver'!$A$1:$A$30),MATCH(I275,'2026_LPCH_CAD_Liver'!$A$1:$D$1)),30)</f>
        <v>Days 61+ through date of disch</v>
      </c>
      <c r="O275" s="16">
        <v>0.35</v>
      </c>
      <c r="P275" s="507">
        <f t="shared" si="59"/>
        <v>0.35</v>
      </c>
      <c r="Q275" s="14" t="s">
        <v>354</v>
      </c>
    </row>
    <row r="276" spans="1:17">
      <c r="A276" s="1" t="e">
        <f ca="1">'2026_LPCH_SingleDouble_Lung'!$A$1</f>
        <v>#VALUE!</v>
      </c>
      <c r="B276" s="14" t="e">
        <f t="shared" ca="1" si="43"/>
        <v>#VALUE!</v>
      </c>
      <c r="C276" s="1" t="s">
        <v>365</v>
      </c>
      <c r="D276" s="4" t="e" cm="1">
        <f t="array" aca="1" ref="D276" ca="1">RIGHT(INDIRECT(ADDRESS(6,2,,,$A276)),6)</f>
        <v>#VALUE!</v>
      </c>
      <c r="E276" s="1" t="e" cm="1">
        <f t="array" aca="1" ref="E276" ca="1">RIGHT(INDIRECT(ADDRESS(4,2,,,$A276)),5)</f>
        <v>#VALUE!</v>
      </c>
      <c r="F276" s="22">
        <v>1.0335000000000001</v>
      </c>
      <c r="G276" s="22">
        <f t="shared" si="54"/>
        <v>1.0325</v>
      </c>
      <c r="H276" s="7">
        <v>1</v>
      </c>
      <c r="I276" s="7">
        <v>3</v>
      </c>
      <c r="J276" s="26">
        <v>4</v>
      </c>
      <c r="K276" s="26"/>
      <c r="L276" s="26" t="s">
        <v>350</v>
      </c>
      <c r="M276" s="26" t="s">
        <v>351</v>
      </c>
      <c r="N276" s="9" t="str">
        <f>LEFT(INDEX('2026_LPCH_SingleDouble_Lung'!$A$1:$E$30,MATCH($H276,'2026_LPCH_SingleDouble_Lung'!$A$1:$A$30),MATCH(I276,'2026_LPCH_SingleDouble_Lung'!$A$1:$D$1)),30)</f>
        <v>EVALUATION (Inpatient or outpa</v>
      </c>
      <c r="O276" s="16" t="s">
        <v>369</v>
      </c>
      <c r="P276" s="507" t="str">
        <f t="shared" si="59"/>
        <v>35% of billed charges</v>
      </c>
      <c r="Q276" s="14" t="s">
        <v>354</v>
      </c>
    </row>
    <row r="277" spans="1:17">
      <c r="A277" s="1" t="e">
        <f ca="1">'2026_LPCH_SingleDouble_Lung'!$A$1</f>
        <v>#VALUE!</v>
      </c>
      <c r="B277" s="14" t="e">
        <f t="shared" ca="1" si="43"/>
        <v>#VALUE!</v>
      </c>
      <c r="C277" s="1" t="s">
        <v>365</v>
      </c>
      <c r="D277" s="4" t="e" cm="1">
        <f t="array" aca="1" ref="D277" ca="1">RIGHT(INDIRECT(ADDRESS(6,2,,,$A277)),6)</f>
        <v>#VALUE!</v>
      </c>
      <c r="E277" s="1" t="e" cm="1">
        <f t="array" aca="1" ref="E277" ca="1">RIGHT(INDIRECT(ADDRESS(4,2,,,$A277)),5)</f>
        <v>#VALUE!</v>
      </c>
      <c r="F277" s="22">
        <v>1.0335000000000001</v>
      </c>
      <c r="G277" s="22">
        <f t="shared" si="54"/>
        <v>1.0325</v>
      </c>
      <c r="H277" s="7">
        <v>2</v>
      </c>
      <c r="I277" s="7">
        <v>3</v>
      </c>
      <c r="J277" s="26">
        <v>4</v>
      </c>
      <c r="K277" s="26"/>
      <c r="L277" s="26" t="s">
        <v>350</v>
      </c>
      <c r="M277" s="26" t="s">
        <v>351</v>
      </c>
      <c r="N277" s="9" t="str">
        <f>LEFT(INDEX('2026_LPCH_SingleDouble_Lung'!$A$1:$E$30,MATCH($H277,'2026_LPCH_SingleDouble_Lung'!$A$1:$A$30),MATCH(I277,'2026_LPCH_SingleDouble_Lung'!$A$1:$D$1)),30)</f>
        <v>PREP AND TRANSPLANT</v>
      </c>
      <c r="O277" s="16">
        <v>342489</v>
      </c>
      <c r="P277" s="507">
        <f t="shared" ref="P277:P280" si="60">ROUND(O277*$G$2,0)</f>
        <v>353620</v>
      </c>
    </row>
    <row r="278" spans="1:17">
      <c r="A278" s="1" t="e">
        <f ca="1">'2026_LPCH_SingleDouble_Lung'!$A$1</f>
        <v>#VALUE!</v>
      </c>
      <c r="B278" s="14" t="e">
        <f t="shared" ca="1" si="43"/>
        <v>#VALUE!</v>
      </c>
      <c r="C278" s="1" t="s">
        <v>365</v>
      </c>
      <c r="D278" s="4" t="e" cm="1">
        <f t="array" aca="1" ref="D278" ca="1">RIGHT(INDIRECT(ADDRESS(6,2,,,$A278)),6)</f>
        <v>#VALUE!</v>
      </c>
      <c r="E278" s="1" t="e" cm="1">
        <f t="array" aca="1" ref="E278" ca="1">RIGHT(INDIRECT(ADDRESS(4,2,,,$A278)),5)</f>
        <v>#VALUE!</v>
      </c>
      <c r="F278" s="22">
        <v>1.0335000000000001</v>
      </c>
      <c r="G278" s="22">
        <f t="shared" si="54"/>
        <v>1.0325</v>
      </c>
      <c r="H278" s="7">
        <v>3</v>
      </c>
      <c r="I278" s="7">
        <v>3</v>
      </c>
      <c r="J278" s="26">
        <v>4</v>
      </c>
      <c r="K278" s="26"/>
      <c r="L278" s="26" t="s">
        <v>350</v>
      </c>
      <c r="M278" s="26" t="s">
        <v>351</v>
      </c>
      <c r="N278" s="9" t="str">
        <f>LEFT(INDEX('2026_LPCH_SingleDouble_Lung'!$A$1:$E$30,MATCH($H278,'2026_LPCH_SingleDouble_Lung'!$A$1:$A$30),MATCH(I278,'2026_LPCH_SingleDouble_Lung'!$A$1:$D$1)),30)</f>
        <v>FOLLOW UP CARE - From day 1 po</v>
      </c>
      <c r="O278" s="16">
        <v>136996</v>
      </c>
      <c r="P278" s="507">
        <f t="shared" si="60"/>
        <v>141448</v>
      </c>
    </row>
    <row r="279" spans="1:17">
      <c r="A279" s="1" t="e">
        <f ca="1">'2026_LPCH_SingleDouble_Lung'!$A$1</f>
        <v>#VALUE!</v>
      </c>
      <c r="B279" s="14" t="e">
        <f t="shared" ca="1" si="43"/>
        <v>#VALUE!</v>
      </c>
      <c r="C279" s="1" t="s">
        <v>365</v>
      </c>
      <c r="D279" s="4" t="e" cm="1">
        <f t="array" aca="1" ref="D279" ca="1">RIGHT(INDIRECT(ADDRESS(6,2,,,$A279)),6)</f>
        <v>#VALUE!</v>
      </c>
      <c r="E279" s="1" t="e" cm="1">
        <f t="array" aca="1" ref="E279" ca="1">RIGHT(INDIRECT(ADDRESS(4,2,,,$A279)),5)</f>
        <v>#VALUE!</v>
      </c>
      <c r="F279" s="22">
        <v>1.0335000000000001</v>
      </c>
      <c r="G279" s="22">
        <f t="shared" si="54"/>
        <v>1.0325</v>
      </c>
      <c r="H279" s="7">
        <v>4</v>
      </c>
      <c r="I279" s="7">
        <v>3</v>
      </c>
      <c r="J279" s="26">
        <v>4</v>
      </c>
      <c r="K279" s="26"/>
      <c r="L279" s="26" t="s">
        <v>350</v>
      </c>
      <c r="M279" s="26" t="s">
        <v>351</v>
      </c>
      <c r="N279" s="9" t="str">
        <f>LEFT(INDEX('2026_LPCH_SingleDouble_Lung'!$A$1:$E$30,MATCH($H279,'2026_LPCH_SingleDouble_Lung'!$A$1:$A$30),MATCH(I279,'2026_LPCH_SingleDouble_Lung'!$A$1:$D$1)),30)</f>
        <v>FOLLOW UP CARE - From day 31 p</v>
      </c>
      <c r="O279" s="16">
        <v>68497</v>
      </c>
      <c r="P279" s="507">
        <f t="shared" si="60"/>
        <v>70723</v>
      </c>
    </row>
    <row r="280" spans="1:17">
      <c r="A280" s="1" t="e">
        <f ca="1">'2026_LPCH_SingleDouble_Lung'!$A$1</f>
        <v>#VALUE!</v>
      </c>
      <c r="B280" s="14" t="e">
        <f t="shared" ca="1" si="43"/>
        <v>#VALUE!</v>
      </c>
      <c r="C280" s="1" t="s">
        <v>365</v>
      </c>
      <c r="D280" s="4" t="e" cm="1">
        <f t="array" aca="1" ref="D280" ca="1">RIGHT(INDIRECT(ADDRESS(6,2,,,$A280)),6)</f>
        <v>#VALUE!</v>
      </c>
      <c r="E280" s="1" t="e" cm="1">
        <f t="array" aca="1" ref="E280" ca="1">RIGHT(INDIRECT(ADDRESS(4,2,,,$A280)),5)</f>
        <v>#VALUE!</v>
      </c>
      <c r="F280" s="22">
        <v>1.0335000000000001</v>
      </c>
      <c r="G280" s="22">
        <f t="shared" si="54"/>
        <v>1.0325</v>
      </c>
      <c r="H280" s="7">
        <v>5</v>
      </c>
      <c r="I280" s="7">
        <v>3</v>
      </c>
      <c r="J280" s="26">
        <v>4</v>
      </c>
      <c r="K280" s="26"/>
      <c r="L280" s="26" t="s">
        <v>350</v>
      </c>
      <c r="M280" s="26" t="s">
        <v>351</v>
      </c>
      <c r="N280" s="9" t="str">
        <f>LEFT(INDEX('2026_LPCH_SingleDouble_Lung'!$A$1:$E$30,MATCH($H280,'2026_LPCH_SingleDouble_Lung'!$A$1:$A$30),MATCH(I280,'2026_LPCH_SingleDouble_Lung'!$A$1:$D$1)),30)</f>
        <v xml:space="preserve">Lung cases will be reimbursed </v>
      </c>
      <c r="O280" s="16">
        <v>1382979</v>
      </c>
      <c r="P280" s="507">
        <f t="shared" si="60"/>
        <v>1427926</v>
      </c>
      <c r="Q280" s="14" t="s">
        <v>353</v>
      </c>
    </row>
    <row r="281" spans="1:17">
      <c r="A281" s="1" t="e">
        <f ca="1">'2026_LPCH_SingleDouble_Lung'!$A$1</f>
        <v>#VALUE!</v>
      </c>
      <c r="B281" s="14" t="e">
        <f t="shared" ca="1" si="43"/>
        <v>#VALUE!</v>
      </c>
      <c r="C281" s="1" t="s">
        <v>365</v>
      </c>
      <c r="D281" s="4" t="e" cm="1">
        <f t="array" aca="1" ref="D281" ca="1">RIGHT(INDIRECT(ADDRESS(6,2,,,$A281)),6)</f>
        <v>#VALUE!</v>
      </c>
      <c r="E281" s="1" t="e" cm="1">
        <f t="array" aca="1" ref="E281" ca="1">RIGHT(INDIRECT(ADDRESS(4,2,,,$A281)),5)</f>
        <v>#VALUE!</v>
      </c>
      <c r="F281" s="22">
        <v>1.0335000000000001</v>
      </c>
      <c r="G281" s="22">
        <f t="shared" si="54"/>
        <v>1.0325</v>
      </c>
      <c r="H281" s="7">
        <v>6</v>
      </c>
      <c r="I281" s="7">
        <v>3</v>
      </c>
      <c r="J281" s="26">
        <v>4</v>
      </c>
      <c r="K281" s="26"/>
      <c r="L281" s="26" t="s">
        <v>350</v>
      </c>
      <c r="M281" s="26" t="s">
        <v>351</v>
      </c>
      <c r="N281" s="9" t="str">
        <f>LEFT(INDEX('2026_LPCH_SingleDouble_Lung'!$A$1:$E$30,MATCH($H281,'2026_LPCH_SingleDouble_Lung'!$A$1:$A$30),MATCH(I281,'2026_LPCH_SingleDouble_Lung'!$A$1:$D$1)),30)</f>
        <v>Rate Above Threshold</v>
      </c>
      <c r="O281" s="16">
        <v>0.35</v>
      </c>
      <c r="P281" s="507">
        <f t="shared" ref="P281:P283" si="61">O281</f>
        <v>0.35</v>
      </c>
      <c r="Q281" s="14" t="s">
        <v>354</v>
      </c>
    </row>
    <row r="282" spans="1:17">
      <c r="A282" s="1" t="e">
        <f ca="1">'2026_LPCH_SingleDouble_Lung'!$A$1</f>
        <v>#VALUE!</v>
      </c>
      <c r="B282" s="14" t="e">
        <f t="shared" ca="1" si="43"/>
        <v>#VALUE!</v>
      </c>
      <c r="C282" s="1" t="s">
        <v>365</v>
      </c>
      <c r="D282" s="4" t="e" cm="1">
        <f t="array" aca="1" ref="D282" ca="1">RIGHT(INDIRECT(ADDRESS(6,2,,,$A282)),6)</f>
        <v>#VALUE!</v>
      </c>
      <c r="E282" s="1" t="e" cm="1">
        <f t="array" aca="1" ref="E282" ca="1">RIGHT(INDIRECT(ADDRESS(4,2,,,$A282)),5)</f>
        <v>#VALUE!</v>
      </c>
      <c r="F282" s="22">
        <v>1.0335000000000001</v>
      </c>
      <c r="G282" s="22">
        <f t="shared" si="54"/>
        <v>1.0325</v>
      </c>
      <c r="H282" s="7">
        <v>7</v>
      </c>
      <c r="I282" s="7">
        <v>3</v>
      </c>
      <c r="J282" s="26">
        <v>4</v>
      </c>
      <c r="K282" s="26"/>
      <c r="L282" s="26" t="s">
        <v>350</v>
      </c>
      <c r="M282" s="26" t="s">
        <v>351</v>
      </c>
      <c r="N282" s="9" t="str">
        <f>LEFT(INDEX('2026_LPCH_SingleDouble_Lung'!$A$1:$E$30,MATCH($H282,'2026_LPCH_SingleDouble_Lung'!$A$1:$A$30),MATCH(I282,'2026_LPCH_SingleDouble_Lung'!$A$1:$D$1)),30)</f>
        <v>Days 61+ through date of disch</v>
      </c>
      <c r="O282" s="16">
        <v>0.35</v>
      </c>
      <c r="P282" s="507">
        <f t="shared" si="61"/>
        <v>0.35</v>
      </c>
      <c r="Q282" s="14" t="s">
        <v>354</v>
      </c>
    </row>
    <row r="283" spans="1:17">
      <c r="A283" s="1" t="e">
        <f ca="1">'2026_LPCH_Heart'!$A$1</f>
        <v>#VALUE!</v>
      </c>
      <c r="B283" s="14" t="e">
        <f t="shared" ca="1" si="43"/>
        <v>#VALUE!</v>
      </c>
      <c r="C283" s="1" t="s">
        <v>365</v>
      </c>
      <c r="D283" s="4" t="e" cm="1">
        <f t="array" aca="1" ref="D283" ca="1">RIGHT(INDIRECT(ADDRESS(6,2,,,$A283)),6)</f>
        <v>#VALUE!</v>
      </c>
      <c r="E283" s="1" t="e" cm="1">
        <f t="array" aca="1" ref="E283" ca="1">RIGHT(INDIRECT(ADDRESS(4,2,,,$A283)),5)</f>
        <v>#VALUE!</v>
      </c>
      <c r="F283" s="22">
        <v>1.0335000000000001</v>
      </c>
      <c r="G283" s="22">
        <f t="shared" si="54"/>
        <v>1.0325</v>
      </c>
      <c r="H283" s="7">
        <v>1</v>
      </c>
      <c r="I283" s="7">
        <v>3</v>
      </c>
      <c r="J283" s="26">
        <v>4</v>
      </c>
      <c r="K283" s="26"/>
      <c r="L283" s="26" t="s">
        <v>350</v>
      </c>
      <c r="M283" s="26" t="s">
        <v>351</v>
      </c>
      <c r="N283" s="9" t="str">
        <f>LEFT(INDEX('2026_LPCH_Heart'!$A$1:$E$30,MATCH($H283,'2026_LPCH_Heart'!$A$1:$A$30),MATCH(I283,'2026_LPCH_Heart'!$A$1:$D$1)),30)</f>
        <v>EVALUATION (Inpatient or outpa</v>
      </c>
      <c r="O283" s="16" t="s">
        <v>369</v>
      </c>
      <c r="P283" s="507" t="str">
        <f t="shared" si="61"/>
        <v>35% of billed charges</v>
      </c>
      <c r="Q283" s="14" t="s">
        <v>354</v>
      </c>
    </row>
    <row r="284" spans="1:17">
      <c r="A284" s="1" t="e">
        <f ca="1">'2026_LPCH_Heart'!$A$1</f>
        <v>#VALUE!</v>
      </c>
      <c r="B284" s="14" t="e">
        <f t="shared" ca="1" si="43"/>
        <v>#VALUE!</v>
      </c>
      <c r="C284" s="1" t="s">
        <v>365</v>
      </c>
      <c r="D284" s="4" t="e" cm="1">
        <f t="array" aca="1" ref="D284" ca="1">RIGHT(INDIRECT(ADDRESS(6,2,,,$A284)),6)</f>
        <v>#VALUE!</v>
      </c>
      <c r="E284" s="1" t="e" cm="1">
        <f t="array" aca="1" ref="E284" ca="1">RIGHT(INDIRECT(ADDRESS(4,2,,,$A284)),5)</f>
        <v>#VALUE!</v>
      </c>
      <c r="F284" s="22">
        <v>1.0335000000000001</v>
      </c>
      <c r="G284" s="22">
        <f t="shared" si="54"/>
        <v>1.0325</v>
      </c>
      <c r="H284" s="7">
        <v>2</v>
      </c>
      <c r="I284" s="7">
        <v>3</v>
      </c>
      <c r="J284" s="26">
        <v>4</v>
      </c>
      <c r="K284" s="26"/>
      <c r="L284" s="26" t="s">
        <v>350</v>
      </c>
      <c r="M284" s="26" t="s">
        <v>351</v>
      </c>
      <c r="N284" s="9" t="str">
        <f>LEFT(INDEX('2026_LPCH_Heart'!$A$1:$E$30,MATCH($H284,'2026_LPCH_Heart'!$A$1:$A$30),MATCH(I284,'2026_LPCH_Heart'!$A$1:$D$1)),30)</f>
        <v>PREP AND TRANSPLANT</v>
      </c>
      <c r="O284" s="16">
        <v>264276</v>
      </c>
      <c r="P284" s="507">
        <f t="shared" ref="P284:P287" si="62">ROUND(O284*$G$2,0)</f>
        <v>272865</v>
      </c>
    </row>
    <row r="285" spans="1:17">
      <c r="A285" s="1" t="e">
        <f ca="1">'2026_LPCH_Heart'!$A$1</f>
        <v>#VALUE!</v>
      </c>
      <c r="B285" s="14" t="e">
        <f t="shared" ca="1" si="43"/>
        <v>#VALUE!</v>
      </c>
      <c r="C285" s="1" t="s">
        <v>365</v>
      </c>
      <c r="D285" s="4" t="e" cm="1">
        <f t="array" aca="1" ref="D285" ca="1">RIGHT(INDIRECT(ADDRESS(6,2,,,$A285)),6)</f>
        <v>#VALUE!</v>
      </c>
      <c r="E285" s="1" t="e" cm="1">
        <f t="array" aca="1" ref="E285" ca="1">RIGHT(INDIRECT(ADDRESS(4,2,,,$A285)),5)</f>
        <v>#VALUE!</v>
      </c>
      <c r="F285" s="22">
        <v>1.0335000000000001</v>
      </c>
      <c r="G285" s="22">
        <f t="shared" si="54"/>
        <v>1.0325</v>
      </c>
      <c r="H285" s="7">
        <v>3</v>
      </c>
      <c r="I285" s="7">
        <v>3</v>
      </c>
      <c r="J285" s="26">
        <v>4</v>
      </c>
      <c r="K285" s="26"/>
      <c r="L285" s="26" t="s">
        <v>350</v>
      </c>
      <c r="M285" s="26" t="s">
        <v>351</v>
      </c>
      <c r="N285" s="9" t="str">
        <f>LEFT(INDEX('2026_LPCH_Heart'!$A$1:$E$30,MATCH($H285,'2026_LPCH_Heart'!$A$1:$A$30),MATCH(I285,'2026_LPCH_Heart'!$A$1:$D$1)),30)</f>
        <v>FOLLOW UP CARE - From day 1 po</v>
      </c>
      <c r="O285" s="16">
        <v>151969</v>
      </c>
      <c r="P285" s="507">
        <f t="shared" si="62"/>
        <v>156908</v>
      </c>
    </row>
    <row r="286" spans="1:17">
      <c r="A286" s="1" t="e">
        <f ca="1">'2026_LPCH_Heart'!$A$1</f>
        <v>#VALUE!</v>
      </c>
      <c r="B286" s="14" t="e">
        <f t="shared" ca="1" si="43"/>
        <v>#VALUE!</v>
      </c>
      <c r="C286" s="1" t="s">
        <v>365</v>
      </c>
      <c r="D286" s="4" t="e" cm="1">
        <f t="array" aca="1" ref="D286" ca="1">RIGHT(INDIRECT(ADDRESS(6,2,,,$A286)),6)</f>
        <v>#VALUE!</v>
      </c>
      <c r="E286" s="1" t="e" cm="1">
        <f t="array" aca="1" ref="E286" ca="1">RIGHT(INDIRECT(ADDRESS(4,2,,,$A286)),5)</f>
        <v>#VALUE!</v>
      </c>
      <c r="F286" s="22">
        <v>1.0335000000000001</v>
      </c>
      <c r="G286" s="22">
        <f t="shared" si="54"/>
        <v>1.0325</v>
      </c>
      <c r="H286" s="7">
        <v>4</v>
      </c>
      <c r="I286" s="7">
        <v>3</v>
      </c>
      <c r="J286" s="26">
        <v>4</v>
      </c>
      <c r="K286" s="26"/>
      <c r="L286" s="26" t="s">
        <v>350</v>
      </c>
      <c r="M286" s="26" t="s">
        <v>351</v>
      </c>
      <c r="N286" s="9" t="str">
        <f>LEFT(INDEX('2026_LPCH_Heart'!$A$1:$E$30,MATCH($H286,'2026_LPCH_Heart'!$A$1:$A$30),MATCH(I286,'2026_LPCH_Heart'!$A$1:$D$1)),30)</f>
        <v>FOLLOW UP CARE - From day 31 p</v>
      </c>
      <c r="O286" s="16">
        <v>57893</v>
      </c>
      <c r="P286" s="507">
        <f t="shared" si="62"/>
        <v>59775</v>
      </c>
    </row>
    <row r="287" spans="1:17">
      <c r="A287" s="1" t="e">
        <f ca="1">'2026_LPCH_Heart'!$A$1</f>
        <v>#VALUE!</v>
      </c>
      <c r="B287" s="14" t="e">
        <f t="shared" ca="1" si="43"/>
        <v>#VALUE!</v>
      </c>
      <c r="C287" s="1" t="s">
        <v>365</v>
      </c>
      <c r="D287" s="4" t="e" cm="1">
        <f t="array" aca="1" ref="D287" ca="1">RIGHT(INDIRECT(ADDRESS(6,2,,,$A287)),6)</f>
        <v>#VALUE!</v>
      </c>
      <c r="E287" s="1" t="e" cm="1">
        <f t="array" aca="1" ref="E287" ca="1">RIGHT(INDIRECT(ADDRESS(4,2,,,$A287)),5)</f>
        <v>#VALUE!</v>
      </c>
      <c r="F287" s="22">
        <v>1.0335000000000001</v>
      </c>
      <c r="G287" s="22">
        <f t="shared" si="54"/>
        <v>1.0325</v>
      </c>
      <c r="H287" s="7">
        <v>5</v>
      </c>
      <c r="I287" s="7">
        <v>3</v>
      </c>
      <c r="J287" s="26">
        <v>4</v>
      </c>
      <c r="K287" s="26"/>
      <c r="L287" s="26" t="s">
        <v>350</v>
      </c>
      <c r="M287" s="26" t="s">
        <v>351</v>
      </c>
      <c r="N287" s="9" t="str">
        <f>LEFT(INDEX('2026_LPCH_Heart'!$A$1:$E$30,MATCH($H287,'2026_LPCH_Heart'!$A$1:$A$30),MATCH(I287,'2026_LPCH_Heart'!$A$1:$D$1)),30)</f>
        <v>Heart cases will be reimbursed</v>
      </c>
      <c r="O287" s="16">
        <v>1196602</v>
      </c>
      <c r="P287" s="507">
        <f t="shared" si="62"/>
        <v>1235492</v>
      </c>
      <c r="Q287" s="14" t="s">
        <v>353</v>
      </c>
    </row>
    <row r="288" spans="1:17">
      <c r="A288" s="1" t="e">
        <f ca="1">'2026_LPCH_Heart'!$A$1</f>
        <v>#VALUE!</v>
      </c>
      <c r="B288" s="14" t="e">
        <f t="shared" ca="1" si="43"/>
        <v>#VALUE!</v>
      </c>
      <c r="C288" s="1" t="s">
        <v>365</v>
      </c>
      <c r="D288" s="4" t="e" cm="1">
        <f t="array" aca="1" ref="D288" ca="1">RIGHT(INDIRECT(ADDRESS(6,2,,,$A288)),6)</f>
        <v>#VALUE!</v>
      </c>
      <c r="E288" s="1" t="e" cm="1">
        <f t="array" aca="1" ref="E288" ca="1">RIGHT(INDIRECT(ADDRESS(4,2,,,$A288)),5)</f>
        <v>#VALUE!</v>
      </c>
      <c r="F288" s="22">
        <v>1.0335000000000001</v>
      </c>
      <c r="G288" s="22">
        <f t="shared" si="54"/>
        <v>1.0325</v>
      </c>
      <c r="H288" s="7">
        <v>6</v>
      </c>
      <c r="I288" s="7">
        <v>3</v>
      </c>
      <c r="J288" s="26">
        <v>4</v>
      </c>
      <c r="K288" s="26"/>
      <c r="L288" s="26" t="s">
        <v>350</v>
      </c>
      <c r="M288" s="26" t="s">
        <v>351</v>
      </c>
      <c r="N288" s="9" t="str">
        <f>LEFT(INDEX('2026_LPCH_Heart'!$A$1:$E$30,MATCH($H288,'2026_LPCH_Heart'!$A$1:$A$30),MATCH(I288,'2026_LPCH_Heart'!$A$1:$D$1)),30)</f>
        <v>Rate Above Threshold</v>
      </c>
      <c r="O288" s="16">
        <v>0.35</v>
      </c>
      <c r="P288" s="507">
        <f t="shared" ref="P288:P290" si="63">O288</f>
        <v>0.35</v>
      </c>
      <c r="Q288" s="14" t="s">
        <v>354</v>
      </c>
    </row>
    <row r="289" spans="1:17">
      <c r="A289" s="1" t="e">
        <f ca="1">'2026_LPCH_Heart'!$A$1</f>
        <v>#VALUE!</v>
      </c>
      <c r="B289" s="14" t="e">
        <f t="shared" ref="B289:B352" ca="1" si="64">IF(A289=A288,0,1)</f>
        <v>#VALUE!</v>
      </c>
      <c r="C289" s="1" t="s">
        <v>365</v>
      </c>
      <c r="D289" s="4" t="e" cm="1">
        <f t="array" aca="1" ref="D289" ca="1">RIGHT(INDIRECT(ADDRESS(6,2,,,$A289)),6)</f>
        <v>#VALUE!</v>
      </c>
      <c r="E289" s="1" t="e" cm="1">
        <f t="array" aca="1" ref="E289" ca="1">RIGHT(INDIRECT(ADDRESS(4,2,,,$A289)),5)</f>
        <v>#VALUE!</v>
      </c>
      <c r="F289" s="22">
        <v>1.0335000000000001</v>
      </c>
      <c r="G289" s="22">
        <f t="shared" si="54"/>
        <v>1.0325</v>
      </c>
      <c r="H289" s="7">
        <v>7</v>
      </c>
      <c r="I289" s="7">
        <v>3</v>
      </c>
      <c r="J289" s="26">
        <v>4</v>
      </c>
      <c r="K289" s="26"/>
      <c r="L289" s="26" t="s">
        <v>350</v>
      </c>
      <c r="M289" s="26" t="s">
        <v>351</v>
      </c>
      <c r="N289" s="9" t="str">
        <f>LEFT(INDEX('2026_LPCH_Heart'!$A$1:$E$30,MATCH($H289,'2026_LPCH_Heart'!$A$1:$A$30),MATCH(I289,'2026_LPCH_Heart'!$A$1:$D$1)),30)</f>
        <v>Days 61+ through date of disch</v>
      </c>
      <c r="O289" s="16">
        <v>0.35</v>
      </c>
      <c r="P289" s="507">
        <f t="shared" si="63"/>
        <v>0.35</v>
      </c>
      <c r="Q289" s="14" t="s">
        <v>354</v>
      </c>
    </row>
    <row r="290" spans="1:17">
      <c r="A290" s="1" t="e">
        <f ca="1">'2026_LPCH_Heart_Lung'!$A$1</f>
        <v>#VALUE!</v>
      </c>
      <c r="B290" s="14" t="e">
        <f t="shared" ca="1" si="64"/>
        <v>#VALUE!</v>
      </c>
      <c r="C290" s="1" t="s">
        <v>365</v>
      </c>
      <c r="D290" s="4" t="e" cm="1">
        <f t="array" aca="1" ref="D290" ca="1">RIGHT(INDIRECT(ADDRESS(6,2,,,$A290)),6)</f>
        <v>#VALUE!</v>
      </c>
      <c r="E290" s="1" t="e" cm="1">
        <f t="array" aca="1" ref="E290" ca="1">RIGHT(INDIRECT(ADDRESS(4,2,,,$A290)),5)</f>
        <v>#VALUE!</v>
      </c>
      <c r="F290" s="22">
        <v>1.0335000000000001</v>
      </c>
      <c r="G290" s="22">
        <f t="shared" si="54"/>
        <v>1.0325</v>
      </c>
      <c r="H290" s="7">
        <v>1</v>
      </c>
      <c r="I290" s="7">
        <v>3</v>
      </c>
      <c r="J290" s="26">
        <v>4</v>
      </c>
      <c r="K290" s="26"/>
      <c r="L290" s="26" t="s">
        <v>350</v>
      </c>
      <c r="M290" s="26" t="s">
        <v>351</v>
      </c>
      <c r="N290" s="9" t="str">
        <f>LEFT(INDEX('2026_LPCH_Heart_Lung'!$A$1:$E$30,MATCH($H290,'2026_LPCH_Heart_Lung'!$A$1:$A$30),MATCH(I290,'2026_LPCH_Heart_Lung'!$A$1:$D$1)),30)</f>
        <v>EVALUATION (Inpatient or outpa</v>
      </c>
      <c r="O290" s="16" t="s">
        <v>369</v>
      </c>
      <c r="P290" s="507" t="str">
        <f t="shared" si="63"/>
        <v>35% of billed charges</v>
      </c>
      <c r="Q290" s="14" t="s">
        <v>354</v>
      </c>
    </row>
    <row r="291" spans="1:17">
      <c r="A291" s="1" t="e">
        <f ca="1">'2026_LPCH_Heart_Lung'!$A$1</f>
        <v>#VALUE!</v>
      </c>
      <c r="B291" s="14" t="e">
        <f t="shared" ca="1" si="64"/>
        <v>#VALUE!</v>
      </c>
      <c r="C291" s="1" t="s">
        <v>365</v>
      </c>
      <c r="D291" s="4" t="e" cm="1">
        <f t="array" aca="1" ref="D291" ca="1">RIGHT(INDIRECT(ADDRESS(6,2,,,$A291)),6)</f>
        <v>#VALUE!</v>
      </c>
      <c r="E291" s="1" t="e" cm="1">
        <f t="array" aca="1" ref="E291" ca="1">RIGHT(INDIRECT(ADDRESS(4,2,,,$A291)),5)</f>
        <v>#VALUE!</v>
      </c>
      <c r="F291" s="22">
        <v>1.0335000000000001</v>
      </c>
      <c r="G291" s="22">
        <f t="shared" si="54"/>
        <v>1.0325</v>
      </c>
      <c r="H291" s="7">
        <v>2</v>
      </c>
      <c r="I291" s="7">
        <v>3</v>
      </c>
      <c r="J291" s="26">
        <v>4</v>
      </c>
      <c r="K291" s="26"/>
      <c r="L291" s="26" t="s">
        <v>350</v>
      </c>
      <c r="M291" s="26" t="s">
        <v>351</v>
      </c>
      <c r="N291" s="9" t="str">
        <f>LEFT(INDEX('2026_LPCH_Heart_Lung'!$A$1:$E$30,MATCH($H291,'2026_LPCH_Heart_Lung'!$A$1:$A$30),MATCH(I291,'2026_LPCH_Heart_Lung'!$A$1:$D$1)),30)</f>
        <v>PREP AND TRANSPLANT</v>
      </c>
      <c r="O291" s="16">
        <v>264276</v>
      </c>
      <c r="P291" s="507">
        <f t="shared" ref="P291:P294" si="65">ROUND(O291*$G$2,0)</f>
        <v>272865</v>
      </c>
    </row>
    <row r="292" spans="1:17">
      <c r="A292" s="1" t="e">
        <f ca="1">'2026_LPCH_Heart_Lung'!$A$1</f>
        <v>#VALUE!</v>
      </c>
      <c r="B292" s="14" t="e">
        <f t="shared" ca="1" si="64"/>
        <v>#VALUE!</v>
      </c>
      <c r="C292" s="1" t="s">
        <v>365</v>
      </c>
      <c r="D292" s="4" t="e" cm="1">
        <f t="array" aca="1" ref="D292" ca="1">RIGHT(INDIRECT(ADDRESS(6,2,,,$A292)),6)</f>
        <v>#VALUE!</v>
      </c>
      <c r="E292" s="1" t="e" cm="1">
        <f t="array" aca="1" ref="E292" ca="1">RIGHT(INDIRECT(ADDRESS(4,2,,,$A292)),5)</f>
        <v>#VALUE!</v>
      </c>
      <c r="F292" s="22">
        <v>1.0335000000000001</v>
      </c>
      <c r="G292" s="22">
        <f t="shared" si="54"/>
        <v>1.0325</v>
      </c>
      <c r="H292" s="7">
        <v>3</v>
      </c>
      <c r="I292" s="7">
        <v>3</v>
      </c>
      <c r="J292" s="26">
        <v>4</v>
      </c>
      <c r="K292" s="26"/>
      <c r="L292" s="26" t="s">
        <v>350</v>
      </c>
      <c r="M292" s="26" t="s">
        <v>351</v>
      </c>
      <c r="N292" s="9" t="str">
        <f>LEFT(INDEX('2026_LPCH_Heart_Lung'!$A$1:$E$30,MATCH($H292,'2026_LPCH_Heart_Lung'!$A$1:$A$30),MATCH(I292,'2026_LPCH_Heart_Lung'!$A$1:$D$1)),30)</f>
        <v>FOLLOW UP CARE - From day 1 po</v>
      </c>
      <c r="O292" s="16">
        <v>151969</v>
      </c>
      <c r="P292" s="507">
        <f t="shared" si="65"/>
        <v>156908</v>
      </c>
    </row>
    <row r="293" spans="1:17">
      <c r="A293" s="1" t="e">
        <f ca="1">'2026_LPCH_Heart_Lung'!$A$1</f>
        <v>#VALUE!</v>
      </c>
      <c r="B293" s="14" t="e">
        <f t="shared" ca="1" si="64"/>
        <v>#VALUE!</v>
      </c>
      <c r="C293" s="1" t="s">
        <v>365</v>
      </c>
      <c r="D293" s="4" t="e" cm="1">
        <f t="array" aca="1" ref="D293" ca="1">RIGHT(INDIRECT(ADDRESS(6,2,,,$A293)),6)</f>
        <v>#VALUE!</v>
      </c>
      <c r="E293" s="1" t="e" cm="1">
        <f t="array" aca="1" ref="E293" ca="1">RIGHT(INDIRECT(ADDRESS(4,2,,,$A293)),5)</f>
        <v>#VALUE!</v>
      </c>
      <c r="F293" s="22">
        <v>1.0335000000000001</v>
      </c>
      <c r="G293" s="22">
        <f t="shared" si="54"/>
        <v>1.0325</v>
      </c>
      <c r="H293" s="7">
        <v>4</v>
      </c>
      <c r="I293" s="7">
        <v>3</v>
      </c>
      <c r="J293" s="26">
        <v>4</v>
      </c>
      <c r="K293" s="26"/>
      <c r="L293" s="26" t="s">
        <v>350</v>
      </c>
      <c r="M293" s="26" t="s">
        <v>351</v>
      </c>
      <c r="N293" s="9" t="str">
        <f>LEFT(INDEX('2026_LPCH_Heart_Lung'!$A$1:$E$30,MATCH($H293,'2026_LPCH_Heart_Lung'!$A$1:$A$30),MATCH(I293,'2026_LPCH_Heart_Lung'!$A$1:$D$1)),30)</f>
        <v>FOLLOW UP CARE - From day 31 p</v>
      </c>
      <c r="O293" s="16">
        <v>57893</v>
      </c>
      <c r="P293" s="507">
        <f t="shared" si="65"/>
        <v>59775</v>
      </c>
    </row>
    <row r="294" spans="1:17">
      <c r="A294" s="1" t="e">
        <f ca="1">'2026_LPCH_Heart_Lung'!$A$1</f>
        <v>#VALUE!</v>
      </c>
      <c r="B294" s="14" t="e">
        <f t="shared" ca="1" si="64"/>
        <v>#VALUE!</v>
      </c>
      <c r="C294" s="1" t="s">
        <v>365</v>
      </c>
      <c r="D294" s="4" t="e" cm="1">
        <f t="array" aca="1" ref="D294" ca="1">RIGHT(INDIRECT(ADDRESS(6,2,,,$A294)),6)</f>
        <v>#VALUE!</v>
      </c>
      <c r="E294" s="1" t="e" cm="1">
        <f t="array" aca="1" ref="E294" ca="1">RIGHT(INDIRECT(ADDRESS(4,2,,,$A294)),5)</f>
        <v>#VALUE!</v>
      </c>
      <c r="F294" s="22">
        <v>1.0335000000000001</v>
      </c>
      <c r="G294" s="22">
        <f t="shared" si="54"/>
        <v>1.0325</v>
      </c>
      <c r="H294" s="7">
        <v>5</v>
      </c>
      <c r="I294" s="7">
        <v>3</v>
      </c>
      <c r="J294" s="26">
        <v>4</v>
      </c>
      <c r="K294" s="26"/>
      <c r="L294" s="26" t="s">
        <v>350</v>
      </c>
      <c r="M294" s="26" t="s">
        <v>351</v>
      </c>
      <c r="N294" s="9" t="str">
        <f>LEFT(INDEX('2026_LPCH_Heart_Lung'!$A$1:$E$30,MATCH($H294,'2026_LPCH_Heart_Lung'!$A$1:$A$30),MATCH(I294,'2026_LPCH_Heart_Lung'!$A$1:$D$1)),30)</f>
        <v xml:space="preserve">Outlier:  Heart cases will be </v>
      </c>
      <c r="O294" s="16">
        <v>1196602</v>
      </c>
      <c r="P294" s="507">
        <f t="shared" si="65"/>
        <v>1235492</v>
      </c>
      <c r="Q294" s="14" t="s">
        <v>353</v>
      </c>
    </row>
    <row r="295" spans="1:17">
      <c r="A295" s="1" t="e">
        <f ca="1">'2026_LPCH_Heart_Lung'!$A$1</f>
        <v>#VALUE!</v>
      </c>
      <c r="B295" s="14" t="e">
        <f t="shared" ca="1" si="64"/>
        <v>#VALUE!</v>
      </c>
      <c r="C295" s="1" t="s">
        <v>365</v>
      </c>
      <c r="D295" s="4" t="e" cm="1">
        <f t="array" aca="1" ref="D295" ca="1">RIGHT(INDIRECT(ADDRESS(6,2,,,$A295)),6)</f>
        <v>#VALUE!</v>
      </c>
      <c r="E295" s="1" t="e" cm="1">
        <f t="array" aca="1" ref="E295" ca="1">RIGHT(INDIRECT(ADDRESS(4,2,,,$A295)),5)</f>
        <v>#VALUE!</v>
      </c>
      <c r="F295" s="22">
        <v>1.0335000000000001</v>
      </c>
      <c r="G295" s="22">
        <f t="shared" si="54"/>
        <v>1.0325</v>
      </c>
      <c r="H295" s="7">
        <v>6</v>
      </c>
      <c r="I295" s="7">
        <v>3</v>
      </c>
      <c r="J295" s="26">
        <v>4</v>
      </c>
      <c r="K295" s="26"/>
      <c r="L295" s="26" t="s">
        <v>350</v>
      </c>
      <c r="M295" s="26" t="s">
        <v>351</v>
      </c>
      <c r="N295" s="9" t="str">
        <f>LEFT(INDEX('2026_LPCH_Heart_Lung'!$A$1:$E$30,MATCH($H295,'2026_LPCH_Heart_Lung'!$A$1:$A$30),MATCH(I295,'2026_LPCH_Heart_Lung'!$A$1:$D$1)),30)</f>
        <v>Rate Above Threshold</v>
      </c>
      <c r="O295" s="16">
        <v>0.35</v>
      </c>
      <c r="P295" s="507">
        <f t="shared" ref="P295:P297" si="66">O295</f>
        <v>0.35</v>
      </c>
      <c r="Q295" s="14" t="s">
        <v>354</v>
      </c>
    </row>
    <row r="296" spans="1:17">
      <c r="A296" s="1" t="e">
        <f ca="1">'2026_LPCH_Heart_Lung'!$A$1</f>
        <v>#VALUE!</v>
      </c>
      <c r="B296" s="14" t="e">
        <f t="shared" ca="1" si="64"/>
        <v>#VALUE!</v>
      </c>
      <c r="C296" s="1" t="s">
        <v>365</v>
      </c>
      <c r="D296" s="4" t="e" cm="1">
        <f t="array" aca="1" ref="D296" ca="1">RIGHT(INDIRECT(ADDRESS(6,2,,,$A296)),6)</f>
        <v>#VALUE!</v>
      </c>
      <c r="E296" s="1" t="e" cm="1">
        <f t="array" aca="1" ref="E296" ca="1">RIGHT(INDIRECT(ADDRESS(4,2,,,$A296)),5)</f>
        <v>#VALUE!</v>
      </c>
      <c r="F296" s="22">
        <v>1.0335000000000001</v>
      </c>
      <c r="G296" s="22">
        <f t="shared" si="54"/>
        <v>1.0325</v>
      </c>
      <c r="H296" s="7">
        <v>7</v>
      </c>
      <c r="I296" s="7">
        <v>3</v>
      </c>
      <c r="J296" s="26">
        <v>4</v>
      </c>
      <c r="K296" s="26"/>
      <c r="L296" s="26" t="s">
        <v>350</v>
      </c>
      <c r="M296" s="26" t="s">
        <v>351</v>
      </c>
      <c r="N296" s="9" t="str">
        <f>LEFT(INDEX('2026_LPCH_Heart_Lung'!$A$1:$E$30,MATCH($H296,'2026_LPCH_Heart_Lung'!$A$1:$A$30),MATCH(I296,'2026_LPCH_Heart_Lung'!$A$1:$D$1)),30)</f>
        <v>Days 61+ through date of disch</v>
      </c>
      <c r="O296" s="16">
        <v>0.35</v>
      </c>
      <c r="P296" s="507">
        <f t="shared" si="66"/>
        <v>0.35</v>
      </c>
      <c r="Q296" s="14" t="s">
        <v>354</v>
      </c>
    </row>
    <row r="297" spans="1:17">
      <c r="A297" s="1" t="e">
        <f ca="1">'2026_LPCH_Heart_Liver'!$A$1</f>
        <v>#VALUE!</v>
      </c>
      <c r="B297" s="14" t="e">
        <f t="shared" ca="1" si="64"/>
        <v>#VALUE!</v>
      </c>
      <c r="C297" s="1" t="s">
        <v>365</v>
      </c>
      <c r="D297" s="4" t="e" cm="1">
        <f t="array" aca="1" ref="D297" ca="1">RIGHT(INDIRECT(ADDRESS(6,2,,,$A297)),6)</f>
        <v>#VALUE!</v>
      </c>
      <c r="E297" s="1" t="e" cm="1">
        <f t="array" aca="1" ref="E297" ca="1">RIGHT(INDIRECT(ADDRESS(4,2,,,$A297)),5)</f>
        <v>#VALUE!</v>
      </c>
      <c r="F297" s="22">
        <v>1.0335000000000001</v>
      </c>
      <c r="G297" s="22">
        <f t="shared" si="54"/>
        <v>1.0325</v>
      </c>
      <c r="H297" s="7">
        <v>1</v>
      </c>
      <c r="I297" s="7">
        <v>3</v>
      </c>
      <c r="J297" s="26">
        <v>4</v>
      </c>
      <c r="K297" s="26"/>
      <c r="L297" s="26" t="s">
        <v>350</v>
      </c>
      <c r="M297" s="26" t="s">
        <v>351</v>
      </c>
      <c r="N297" s="9" t="str">
        <f>LEFT(INDEX('2026_LPCH_Heart_Liver'!$A$1:$E$30,MATCH($H297,'2026_LPCH_Heart_Liver'!$A$1:$A$30),MATCH(I297,'2026_LPCH_Heart_Liver'!$A$1:$D$1)),30)</f>
        <v>EVALUATION (Inpatient or outpa</v>
      </c>
      <c r="O297" s="16" t="s">
        <v>369</v>
      </c>
      <c r="P297" s="507" t="str">
        <f t="shared" si="66"/>
        <v>35% of billed charges</v>
      </c>
      <c r="Q297" s="14" t="s">
        <v>354</v>
      </c>
    </row>
    <row r="298" spans="1:17">
      <c r="A298" s="1" t="e">
        <f ca="1">'2026_LPCH_Heart_Liver'!$A$1</f>
        <v>#VALUE!</v>
      </c>
      <c r="B298" s="14" t="e">
        <f t="shared" ca="1" si="64"/>
        <v>#VALUE!</v>
      </c>
      <c r="C298" s="1" t="s">
        <v>365</v>
      </c>
      <c r="D298" s="4" t="e" cm="1">
        <f t="array" aca="1" ref="D298" ca="1">RIGHT(INDIRECT(ADDRESS(6,2,,,$A298)),6)</f>
        <v>#VALUE!</v>
      </c>
      <c r="E298" s="1" t="e" cm="1">
        <f t="array" aca="1" ref="E298" ca="1">RIGHT(INDIRECT(ADDRESS(4,2,,,$A298)),5)</f>
        <v>#VALUE!</v>
      </c>
      <c r="F298" s="22">
        <v>1.0335000000000001</v>
      </c>
      <c r="G298" s="22">
        <f t="shared" si="54"/>
        <v>1.0325</v>
      </c>
      <c r="H298" s="7">
        <v>2</v>
      </c>
      <c r="I298" s="7">
        <v>3</v>
      </c>
      <c r="J298" s="26">
        <v>4</v>
      </c>
      <c r="K298" s="26"/>
      <c r="L298" s="26" t="s">
        <v>350</v>
      </c>
      <c r="M298" s="26" t="s">
        <v>351</v>
      </c>
      <c r="N298" s="9" t="str">
        <f>LEFT(INDEX('2026_LPCH_Heart_Liver'!$A$1:$E$30,MATCH($H298,'2026_LPCH_Heart_Liver'!$A$1:$A$30),MATCH(I298,'2026_LPCH_Heart_Liver'!$A$1:$D$1)),30)</f>
        <v>PREP AND TRANSPLANT</v>
      </c>
      <c r="O298" s="16">
        <v>421223</v>
      </c>
      <c r="P298" s="507">
        <f t="shared" ref="P298:P301" si="67">ROUND(O298*$G$2,0)</f>
        <v>434913</v>
      </c>
    </row>
    <row r="299" spans="1:17">
      <c r="A299" s="1" t="e">
        <f ca="1">'2026_LPCH_Heart_Liver'!$A$1</f>
        <v>#VALUE!</v>
      </c>
      <c r="B299" s="14" t="e">
        <f t="shared" ca="1" si="64"/>
        <v>#VALUE!</v>
      </c>
      <c r="C299" s="1" t="s">
        <v>365</v>
      </c>
      <c r="D299" s="4" t="e" cm="1">
        <f t="array" aca="1" ref="D299" ca="1">RIGHT(INDIRECT(ADDRESS(6,2,,,$A299)),6)</f>
        <v>#VALUE!</v>
      </c>
      <c r="E299" s="1" t="e" cm="1">
        <f t="array" aca="1" ref="E299" ca="1">RIGHT(INDIRECT(ADDRESS(4,2,,,$A299)),5)</f>
        <v>#VALUE!</v>
      </c>
      <c r="F299" s="22">
        <v>1.0335000000000001</v>
      </c>
      <c r="G299" s="22">
        <f t="shared" si="54"/>
        <v>1.0325</v>
      </c>
      <c r="H299" s="7">
        <v>3</v>
      </c>
      <c r="I299" s="7">
        <v>3</v>
      </c>
      <c r="J299" s="26">
        <v>4</v>
      </c>
      <c r="K299" s="26"/>
      <c r="L299" s="26" t="s">
        <v>350</v>
      </c>
      <c r="M299" s="26" t="s">
        <v>351</v>
      </c>
      <c r="N299" s="9" t="str">
        <f>LEFT(INDEX('2026_LPCH_Heart_Liver'!$A$1:$E$30,MATCH($H299,'2026_LPCH_Heart_Liver'!$A$1:$A$30),MATCH(I299,'2026_LPCH_Heart_Liver'!$A$1:$D$1)),30)</f>
        <v>FOLLOW UP CARE - From day 1 po</v>
      </c>
      <c r="O299" s="16">
        <v>147071</v>
      </c>
      <c r="P299" s="507">
        <f t="shared" si="67"/>
        <v>151851</v>
      </c>
    </row>
    <row r="300" spans="1:17">
      <c r="A300" s="1" t="e">
        <f ca="1">'2026_LPCH_Heart_Liver'!$A$1</f>
        <v>#VALUE!</v>
      </c>
      <c r="B300" s="14" t="e">
        <f t="shared" ca="1" si="64"/>
        <v>#VALUE!</v>
      </c>
      <c r="C300" s="1" t="s">
        <v>365</v>
      </c>
      <c r="D300" s="4" t="e" cm="1">
        <f t="array" aca="1" ref="D300" ca="1">RIGHT(INDIRECT(ADDRESS(6,2,,,$A300)),6)</f>
        <v>#VALUE!</v>
      </c>
      <c r="E300" s="1" t="e" cm="1">
        <f t="array" aca="1" ref="E300" ca="1">RIGHT(INDIRECT(ADDRESS(4,2,,,$A300)),5)</f>
        <v>#VALUE!</v>
      </c>
      <c r="F300" s="22">
        <v>1.0335000000000001</v>
      </c>
      <c r="G300" s="22">
        <f t="shared" si="54"/>
        <v>1.0325</v>
      </c>
      <c r="H300" s="7">
        <v>4</v>
      </c>
      <c r="I300" s="7">
        <v>3</v>
      </c>
      <c r="J300" s="26">
        <v>4</v>
      </c>
      <c r="K300" s="26"/>
      <c r="L300" s="26" t="s">
        <v>350</v>
      </c>
      <c r="M300" s="26" t="s">
        <v>351</v>
      </c>
      <c r="N300" s="9" t="str">
        <f>LEFT(INDEX('2026_LPCH_Heart_Liver'!$A$1:$E$30,MATCH($H300,'2026_LPCH_Heart_Liver'!$A$1:$A$30),MATCH(I300,'2026_LPCH_Heart_Liver'!$A$1:$D$1)),30)</f>
        <v>FOLLOW UP CARE - From day 31 p</v>
      </c>
      <c r="O300" s="16">
        <v>56027</v>
      </c>
      <c r="P300" s="507">
        <f t="shared" si="67"/>
        <v>57848</v>
      </c>
    </row>
    <row r="301" spans="1:17">
      <c r="A301" s="1" t="e">
        <f ca="1">'2026_LPCH_Heart_Liver'!$A$1</f>
        <v>#VALUE!</v>
      </c>
      <c r="B301" s="14" t="e">
        <f t="shared" ca="1" si="64"/>
        <v>#VALUE!</v>
      </c>
      <c r="C301" s="1" t="s">
        <v>365</v>
      </c>
      <c r="D301" s="4" t="e" cm="1">
        <f t="array" aca="1" ref="D301" ca="1">RIGHT(INDIRECT(ADDRESS(6,2,,,$A301)),6)</f>
        <v>#VALUE!</v>
      </c>
      <c r="E301" s="1" t="e" cm="1">
        <f t="array" aca="1" ref="E301" ca="1">RIGHT(INDIRECT(ADDRESS(4,2,,,$A301)),5)</f>
        <v>#VALUE!</v>
      </c>
      <c r="F301" s="22">
        <v>1.0335000000000001</v>
      </c>
      <c r="G301" s="22">
        <f t="shared" si="54"/>
        <v>1.0325</v>
      </c>
      <c r="H301" s="7">
        <v>5</v>
      </c>
      <c r="I301" s="7">
        <v>3</v>
      </c>
      <c r="J301" s="26">
        <v>4</v>
      </c>
      <c r="K301" s="26"/>
      <c r="L301" s="26" t="s">
        <v>350</v>
      </c>
      <c r="M301" s="26" t="s">
        <v>351</v>
      </c>
      <c r="N301" s="9" t="str">
        <f>LEFT(INDEX('2026_LPCH_Heart_Liver'!$A$1:$E$30,MATCH($H301,'2026_LPCH_Heart_Liver'!$A$1:$A$30),MATCH(I301,'2026_LPCH_Heart_Liver'!$A$1:$D$1)),30)</f>
        <v>Outlier:  Heart/Liver cases wi</v>
      </c>
      <c r="O301" s="16">
        <v>1573289</v>
      </c>
      <c r="P301" s="507">
        <f t="shared" si="67"/>
        <v>1624421</v>
      </c>
      <c r="Q301" s="14" t="s">
        <v>353</v>
      </c>
    </row>
    <row r="302" spans="1:17">
      <c r="A302" s="1" t="e">
        <f ca="1">'2026_LPCH_Heart_Liver'!$A$1</f>
        <v>#VALUE!</v>
      </c>
      <c r="B302" s="14" t="e">
        <f t="shared" ca="1" si="64"/>
        <v>#VALUE!</v>
      </c>
      <c r="C302" s="1" t="s">
        <v>365</v>
      </c>
      <c r="D302" s="4" t="e" cm="1">
        <f t="array" aca="1" ref="D302" ca="1">RIGHT(INDIRECT(ADDRESS(6,2,,,$A302)),6)</f>
        <v>#VALUE!</v>
      </c>
      <c r="E302" s="1" t="e" cm="1">
        <f t="array" aca="1" ref="E302" ca="1">RIGHT(INDIRECT(ADDRESS(4,2,,,$A302)),5)</f>
        <v>#VALUE!</v>
      </c>
      <c r="F302" s="22">
        <v>1.0335000000000001</v>
      </c>
      <c r="G302" s="22">
        <f t="shared" si="54"/>
        <v>1.0325</v>
      </c>
      <c r="H302" s="7">
        <v>6</v>
      </c>
      <c r="I302" s="7">
        <v>3</v>
      </c>
      <c r="J302" s="26">
        <v>4</v>
      </c>
      <c r="K302" s="26"/>
      <c r="L302" s="26" t="s">
        <v>350</v>
      </c>
      <c r="M302" s="26" t="s">
        <v>351</v>
      </c>
      <c r="N302" s="9" t="str">
        <f>LEFT(INDEX('2026_LPCH_Heart_Liver'!$A$1:$E$30,MATCH($H302,'2026_LPCH_Heart_Liver'!$A$1:$A$30),MATCH(I302,'2026_LPCH_Heart_Liver'!$A$1:$D$1)),30)</f>
        <v>Rate Above Threshold</v>
      </c>
      <c r="O302" s="16">
        <v>0.35</v>
      </c>
      <c r="P302" s="507">
        <f t="shared" ref="P302:P304" si="68">O302</f>
        <v>0.35</v>
      </c>
      <c r="Q302" s="14" t="s">
        <v>354</v>
      </c>
    </row>
    <row r="303" spans="1:17">
      <c r="A303" s="1" t="e">
        <f ca="1">'2026_LPCH_Heart_Liver'!$A$1</f>
        <v>#VALUE!</v>
      </c>
      <c r="B303" s="14" t="e">
        <f t="shared" ca="1" si="64"/>
        <v>#VALUE!</v>
      </c>
      <c r="C303" s="1" t="s">
        <v>365</v>
      </c>
      <c r="D303" s="4" t="e" cm="1">
        <f t="array" aca="1" ref="D303" ca="1">RIGHT(INDIRECT(ADDRESS(6,2,,,$A303)),6)</f>
        <v>#VALUE!</v>
      </c>
      <c r="E303" s="1" t="e" cm="1">
        <f t="array" aca="1" ref="E303" ca="1">RIGHT(INDIRECT(ADDRESS(4,2,,,$A303)),5)</f>
        <v>#VALUE!</v>
      </c>
      <c r="F303" s="22">
        <v>1.0335000000000001</v>
      </c>
      <c r="G303" s="22">
        <f t="shared" si="54"/>
        <v>1.0325</v>
      </c>
      <c r="H303" s="7">
        <v>7</v>
      </c>
      <c r="I303" s="7">
        <v>3</v>
      </c>
      <c r="J303" s="26">
        <v>4</v>
      </c>
      <c r="K303" s="26"/>
      <c r="L303" s="26" t="s">
        <v>350</v>
      </c>
      <c r="M303" s="26" t="s">
        <v>351</v>
      </c>
      <c r="N303" s="9" t="str">
        <f>LEFT(INDEX('2026_LPCH_Heart_Liver'!$A$1:$E$30,MATCH($H303,'2026_LPCH_Heart_Liver'!$A$1:$A$30),MATCH(I303,'2026_LPCH_Heart_Liver'!$A$1:$D$1)),30)</f>
        <v>Days 61+ through date of disch</v>
      </c>
      <c r="O303" s="16">
        <v>0.35</v>
      </c>
      <c r="P303" s="507">
        <f t="shared" si="68"/>
        <v>0.35</v>
      </c>
      <c r="Q303" s="14" t="s">
        <v>354</v>
      </c>
    </row>
    <row r="304" spans="1:17">
      <c r="A304" s="1" t="e">
        <f ca="1">'2026_LPCH_Multivis_CadDonor'!$A$1</f>
        <v>#VALUE!</v>
      </c>
      <c r="B304" s="14" t="e">
        <f t="shared" ca="1" si="64"/>
        <v>#VALUE!</v>
      </c>
      <c r="C304" s="1" t="s">
        <v>365</v>
      </c>
      <c r="D304" s="5" t="e" cm="1">
        <f t="array" aca="1" ref="D304" ca="1">RIGHT(INDIRECT(ADDRESS(7,2,,,$A304)),6)</f>
        <v>#VALUE!</v>
      </c>
      <c r="E304" s="1" t="e" cm="1">
        <f t="array" aca="1" ref="E304" ca="1">RIGHT(INDIRECT(ADDRESS(4,2,,,$A304)),5)</f>
        <v>#VALUE!</v>
      </c>
      <c r="F304" s="22">
        <v>1.0335000000000001</v>
      </c>
      <c r="G304" s="22">
        <f t="shared" si="54"/>
        <v>1.0325</v>
      </c>
      <c r="H304" s="7">
        <v>1</v>
      </c>
      <c r="I304" s="7">
        <v>3</v>
      </c>
      <c r="J304" s="26">
        <v>4</v>
      </c>
      <c r="K304" s="26"/>
      <c r="L304" s="26" t="s">
        <v>350</v>
      </c>
      <c r="M304" s="26" t="s">
        <v>351</v>
      </c>
      <c r="N304" s="9" t="str">
        <f>LEFT(INDEX('2026_LPCH_Multivis_CadDonor'!$A$1:$E$30,MATCH($H304,'2026_LPCH_Multivis_CadDonor'!$A$1:$A$30),MATCH(I304,'2026_LPCH_Multivis_CadDonor'!$A$1:$D$1)),30)</f>
        <v>EVALUATION (Inpatient or outpa</v>
      </c>
      <c r="O304" s="16" t="s">
        <v>369</v>
      </c>
      <c r="P304" s="507" t="str">
        <f t="shared" si="68"/>
        <v>35% of billed charges</v>
      </c>
      <c r="Q304" s="14" t="s">
        <v>354</v>
      </c>
    </row>
    <row r="305" spans="1:17">
      <c r="A305" s="1" t="e">
        <f ca="1">'2026_LPCH_Multivis_CadDonor'!$A$1</f>
        <v>#VALUE!</v>
      </c>
      <c r="B305" s="14" t="e">
        <f t="shared" ca="1" si="64"/>
        <v>#VALUE!</v>
      </c>
      <c r="C305" s="1" t="s">
        <v>365</v>
      </c>
      <c r="D305" s="5" t="e" cm="1">
        <f t="array" aca="1" ref="D305" ca="1">RIGHT(INDIRECT(ADDRESS(7,2,,,$A305)),6)</f>
        <v>#VALUE!</v>
      </c>
      <c r="E305" s="1" t="e" cm="1">
        <f t="array" aca="1" ref="E305" ca="1">RIGHT(INDIRECT(ADDRESS(4,2,,,$A305)),5)</f>
        <v>#VALUE!</v>
      </c>
      <c r="F305" s="22">
        <v>1.0335000000000001</v>
      </c>
      <c r="G305" s="22">
        <f t="shared" si="54"/>
        <v>1.0325</v>
      </c>
      <c r="H305" s="7">
        <v>2</v>
      </c>
      <c r="I305" s="7">
        <v>3</v>
      </c>
      <c r="J305" s="26">
        <v>4</v>
      </c>
      <c r="K305" s="26"/>
      <c r="L305" s="26" t="s">
        <v>350</v>
      </c>
      <c r="M305" s="26" t="s">
        <v>351</v>
      </c>
      <c r="N305" s="9" t="str">
        <f>LEFT(INDEX('2026_LPCH_Multivis_CadDonor'!$A$1:$E$30,MATCH($H305,'2026_LPCH_Multivis_CadDonor'!$A$1:$A$30),MATCH(I305,'2026_LPCH_Multivis_CadDonor'!$A$1:$D$1)),30)</f>
        <v>PREP AND TRANSPLANT</v>
      </c>
      <c r="O305" s="16">
        <v>505117</v>
      </c>
      <c r="P305" s="507">
        <f t="shared" ref="P305:P308" si="69">ROUND(O305*$G$2,0)</f>
        <v>521533</v>
      </c>
    </row>
    <row r="306" spans="1:17">
      <c r="A306" s="1" t="e">
        <f ca="1">'2026_LPCH_Multivis_CadDonor'!$A$1</f>
        <v>#VALUE!</v>
      </c>
      <c r="B306" s="14" t="e">
        <f t="shared" ca="1" si="64"/>
        <v>#VALUE!</v>
      </c>
      <c r="C306" s="1" t="s">
        <v>365</v>
      </c>
      <c r="D306" s="5" t="e" cm="1">
        <f t="array" aca="1" ref="D306" ca="1">RIGHT(INDIRECT(ADDRESS(7,2,,,$A306)),6)</f>
        <v>#VALUE!</v>
      </c>
      <c r="E306" s="1" t="e" cm="1">
        <f t="array" aca="1" ref="E306" ca="1">RIGHT(INDIRECT(ADDRESS(4,2,,,$A306)),5)</f>
        <v>#VALUE!</v>
      </c>
      <c r="F306" s="22">
        <v>1.0335000000000001</v>
      </c>
      <c r="G306" s="22">
        <f t="shared" si="54"/>
        <v>1.0325</v>
      </c>
      <c r="H306" s="7">
        <v>3</v>
      </c>
      <c r="I306" s="7">
        <v>3</v>
      </c>
      <c r="J306" s="26">
        <v>4</v>
      </c>
      <c r="K306" s="26"/>
      <c r="L306" s="26" t="s">
        <v>350</v>
      </c>
      <c r="M306" s="26" t="s">
        <v>351</v>
      </c>
      <c r="N306" s="9" t="str">
        <f>LEFT(INDEX('2026_LPCH_Multivis_CadDonor'!$A$1:$E$30,MATCH($H306,'2026_LPCH_Multivis_CadDonor'!$A$1:$A$30),MATCH(I306,'2026_LPCH_Multivis_CadDonor'!$A$1:$D$1)),30)</f>
        <v>FOLLOW UP CARE - From day 1 po</v>
      </c>
      <c r="O306" s="16">
        <v>490643</v>
      </c>
      <c r="P306" s="507">
        <f t="shared" si="69"/>
        <v>506589</v>
      </c>
    </row>
    <row r="307" spans="1:17">
      <c r="A307" s="1" t="e">
        <f ca="1">'2026_LPCH_Multivis_CadDonor'!$A$1</f>
        <v>#VALUE!</v>
      </c>
      <c r="B307" s="14" t="e">
        <f t="shared" ca="1" si="64"/>
        <v>#VALUE!</v>
      </c>
      <c r="C307" s="1" t="s">
        <v>365</v>
      </c>
      <c r="D307" s="5" t="e" cm="1">
        <f t="array" aca="1" ref="D307" ca="1">RIGHT(INDIRECT(ADDRESS(7,2,,,$A307)),6)</f>
        <v>#VALUE!</v>
      </c>
      <c r="E307" s="1" t="e" cm="1">
        <f t="array" aca="1" ref="E307" ca="1">RIGHT(INDIRECT(ADDRESS(4,2,,,$A307)),5)</f>
        <v>#VALUE!</v>
      </c>
      <c r="F307" s="22">
        <v>1.0335000000000001</v>
      </c>
      <c r="G307" s="22">
        <f t="shared" si="54"/>
        <v>1.0325</v>
      </c>
      <c r="H307" s="7">
        <v>4</v>
      </c>
      <c r="I307" s="7">
        <v>3</v>
      </c>
      <c r="J307" s="26">
        <v>4</v>
      </c>
      <c r="K307" s="26"/>
      <c r="L307" s="26" t="s">
        <v>350</v>
      </c>
      <c r="M307" s="26" t="s">
        <v>351</v>
      </c>
      <c r="N307" s="9" t="str">
        <f>LEFT(INDEX('2026_LPCH_Multivis_CadDonor'!$A$1:$E$30,MATCH($H307,'2026_LPCH_Multivis_CadDonor'!$A$1:$A$30),MATCH(I307,'2026_LPCH_Multivis_CadDonor'!$A$1:$D$1)),30)</f>
        <v>FOLLOW UP CARE - From day 31 p</v>
      </c>
      <c r="O307" s="16">
        <v>39367</v>
      </c>
      <c r="P307" s="507">
        <f t="shared" si="69"/>
        <v>40646</v>
      </c>
    </row>
    <row r="308" spans="1:17">
      <c r="A308" s="1" t="e">
        <f ca="1">'2026_LPCH_Multivis_CadDonor'!$A$1</f>
        <v>#VALUE!</v>
      </c>
      <c r="B308" s="14" t="e">
        <f t="shared" ca="1" si="64"/>
        <v>#VALUE!</v>
      </c>
      <c r="C308" s="1" t="s">
        <v>365</v>
      </c>
      <c r="D308" s="5" t="e" cm="1">
        <f t="array" aca="1" ref="D308" ca="1">RIGHT(INDIRECT(ADDRESS(7,2,,,$A308)),6)</f>
        <v>#VALUE!</v>
      </c>
      <c r="E308" s="1" t="e" cm="1">
        <f t="array" aca="1" ref="E308" ca="1">RIGHT(INDIRECT(ADDRESS(4,2,,,$A308)),5)</f>
        <v>#VALUE!</v>
      </c>
      <c r="F308" s="22">
        <v>1.0335000000000001</v>
      </c>
      <c r="G308" s="22">
        <f t="shared" si="54"/>
        <v>1.0325</v>
      </c>
      <c r="H308" s="7">
        <v>5</v>
      </c>
      <c r="I308" s="7">
        <v>3</v>
      </c>
      <c r="J308" s="26">
        <v>4</v>
      </c>
      <c r="K308" s="26"/>
      <c r="L308" s="26" t="s">
        <v>350</v>
      </c>
      <c r="M308" s="26" t="s">
        <v>351</v>
      </c>
      <c r="N308" s="9" t="str">
        <f>LEFT(INDEX('2026_LPCH_Multivis_CadDonor'!$A$1:$E$30,MATCH($H308,'2026_LPCH_Multivis_CadDonor'!$A$1:$A$30),MATCH(I308,'2026_LPCH_Multivis_CadDonor'!$A$1:$D$1)),30)</f>
        <v>**Multi visceral cases will be</v>
      </c>
      <c r="O308" s="16">
        <v>2612405</v>
      </c>
      <c r="P308" s="507">
        <f t="shared" si="69"/>
        <v>2697308</v>
      </c>
      <c r="Q308" s="14" t="s">
        <v>353</v>
      </c>
    </row>
    <row r="309" spans="1:17">
      <c r="A309" s="1" t="e">
        <f ca="1">'2026_LPCH_Multivis_CadDonor'!$A$1</f>
        <v>#VALUE!</v>
      </c>
      <c r="B309" s="14" t="e">
        <f t="shared" ca="1" si="64"/>
        <v>#VALUE!</v>
      </c>
      <c r="C309" s="1" t="s">
        <v>365</v>
      </c>
      <c r="D309" s="5" t="e" cm="1">
        <f t="array" aca="1" ref="D309" ca="1">RIGHT(INDIRECT(ADDRESS(7,2,,,$A309)),6)</f>
        <v>#VALUE!</v>
      </c>
      <c r="E309" s="1" t="e" cm="1">
        <f t="array" aca="1" ref="E309" ca="1">RIGHT(INDIRECT(ADDRESS(4,2,,,$A309)),5)</f>
        <v>#VALUE!</v>
      </c>
      <c r="F309" s="22">
        <v>1.0335000000000001</v>
      </c>
      <c r="G309" s="22">
        <f t="shared" si="54"/>
        <v>1.0325</v>
      </c>
      <c r="H309" s="7">
        <v>6</v>
      </c>
      <c r="I309" s="7">
        <v>3</v>
      </c>
      <c r="J309" s="26">
        <v>4</v>
      </c>
      <c r="K309" s="26"/>
      <c r="L309" s="26" t="s">
        <v>350</v>
      </c>
      <c r="M309" s="26" t="s">
        <v>351</v>
      </c>
      <c r="N309" s="9" t="str">
        <f>LEFT(INDEX('2026_LPCH_Multivis_CadDonor'!$A$1:$E$30,MATCH($H309,'2026_LPCH_Multivis_CadDonor'!$A$1:$A$30),MATCH(I309,'2026_LPCH_Multivis_CadDonor'!$A$1:$D$1)),30)</f>
        <v>Rate Above Threshold</v>
      </c>
      <c r="O309" s="16">
        <v>0.35</v>
      </c>
      <c r="P309" s="507">
        <f t="shared" ref="P309:P311" si="70">O309</f>
        <v>0.35</v>
      </c>
      <c r="Q309" s="14" t="s">
        <v>354</v>
      </c>
    </row>
    <row r="310" spans="1:17">
      <c r="A310" s="1" t="e">
        <f ca="1">'2026_LPCH_Multivis_CadDonor'!$A$1</f>
        <v>#VALUE!</v>
      </c>
      <c r="B310" s="14" t="e">
        <f t="shared" ca="1" si="64"/>
        <v>#VALUE!</v>
      </c>
      <c r="C310" s="1" t="s">
        <v>365</v>
      </c>
      <c r="D310" s="5" t="e" cm="1">
        <f t="array" aca="1" ref="D310" ca="1">RIGHT(INDIRECT(ADDRESS(7,2,,,$A310)),6)</f>
        <v>#VALUE!</v>
      </c>
      <c r="E310" s="1" t="e" cm="1">
        <f t="array" aca="1" ref="E310" ca="1">RIGHT(INDIRECT(ADDRESS(4,2,,,$A310)),5)</f>
        <v>#VALUE!</v>
      </c>
      <c r="F310" s="22">
        <v>1.0335000000000001</v>
      </c>
      <c r="G310" s="22">
        <f t="shared" si="54"/>
        <v>1.0325</v>
      </c>
      <c r="H310" s="7">
        <v>7</v>
      </c>
      <c r="I310" s="7">
        <v>3</v>
      </c>
      <c r="J310" s="26">
        <v>4</v>
      </c>
      <c r="K310" s="26"/>
      <c r="L310" s="26" t="s">
        <v>350</v>
      </c>
      <c r="M310" s="26" t="s">
        <v>351</v>
      </c>
      <c r="N310" s="9" t="str">
        <f>LEFT(INDEX('2026_LPCH_Multivis_CadDonor'!$A$1:$E$30,MATCH($H310,'2026_LPCH_Multivis_CadDonor'!$A$1:$A$30),MATCH(I310,'2026_LPCH_Multivis_CadDonor'!$A$1:$D$1)),30)</f>
        <v>Days 61+ through date of disch</v>
      </c>
      <c r="O310" s="16">
        <v>0.35</v>
      </c>
      <c r="P310" s="507">
        <f t="shared" si="70"/>
        <v>0.35</v>
      </c>
      <c r="Q310" s="14" t="s">
        <v>354</v>
      </c>
    </row>
    <row r="311" spans="1:17">
      <c r="A311" s="1" t="e">
        <f ca="1">'2026_LPCH_IntestineCadDonor'!$A$1</f>
        <v>#VALUE!</v>
      </c>
      <c r="B311" s="14" t="e">
        <f t="shared" ca="1" si="64"/>
        <v>#VALUE!</v>
      </c>
      <c r="C311" s="1" t="s">
        <v>365</v>
      </c>
      <c r="D311" s="5" t="e" cm="1">
        <f t="array" aca="1" ref="D311" ca="1">RIGHT(INDIRECT(ADDRESS(7,2,,,$A311)),6)</f>
        <v>#VALUE!</v>
      </c>
      <c r="E311" s="1" t="e" cm="1">
        <f t="array" aca="1" ref="E311" ca="1">RIGHT(INDIRECT(ADDRESS(4,2,,,$A311)),5)</f>
        <v>#VALUE!</v>
      </c>
      <c r="F311" s="22">
        <v>1.0335000000000001</v>
      </c>
      <c r="G311" s="22">
        <f t="shared" si="54"/>
        <v>1.0325</v>
      </c>
      <c r="H311" s="7">
        <v>1</v>
      </c>
      <c r="I311" s="7">
        <v>3</v>
      </c>
      <c r="J311" s="26">
        <v>4</v>
      </c>
      <c r="K311" s="26"/>
      <c r="L311" s="26" t="s">
        <v>350</v>
      </c>
      <c r="M311" s="26" t="s">
        <v>351</v>
      </c>
      <c r="N311" s="9" t="str">
        <f>LEFT(INDEX('2026_LPCH_IntestineCadDonor'!$A$1:$E$30,MATCH($H311,'2026_LPCH_IntestineCadDonor'!$A$1:$A$30),MATCH(I311,'2026_LPCH_IntestineCadDonor'!$A$1:$D$1)),30)</f>
        <v>EVALUATION (Inpatient or outpa</v>
      </c>
      <c r="O311" s="16" t="s">
        <v>369</v>
      </c>
      <c r="P311" s="507" t="str">
        <f t="shared" si="70"/>
        <v>35% of billed charges</v>
      </c>
      <c r="Q311" s="14" t="s">
        <v>354</v>
      </c>
    </row>
    <row r="312" spans="1:17">
      <c r="A312" s="1" t="e">
        <f ca="1">'2026_LPCH_IntestineCadDonor'!$A$1</f>
        <v>#VALUE!</v>
      </c>
      <c r="B312" s="14" t="e">
        <f t="shared" ca="1" si="64"/>
        <v>#VALUE!</v>
      </c>
      <c r="C312" s="1" t="s">
        <v>365</v>
      </c>
      <c r="D312" s="5" t="e" cm="1">
        <f t="array" aca="1" ref="D312" ca="1">RIGHT(INDIRECT(ADDRESS(7,2,,,$A312)),6)</f>
        <v>#VALUE!</v>
      </c>
      <c r="E312" s="1" t="e" cm="1">
        <f t="array" aca="1" ref="E312" ca="1">RIGHT(INDIRECT(ADDRESS(4,2,,,$A312)),5)</f>
        <v>#VALUE!</v>
      </c>
      <c r="F312" s="22">
        <v>1.0335000000000001</v>
      </c>
      <c r="G312" s="22">
        <f t="shared" si="54"/>
        <v>1.0325</v>
      </c>
      <c r="H312" s="7">
        <v>2</v>
      </c>
      <c r="I312" s="7">
        <v>3</v>
      </c>
      <c r="J312" s="26">
        <v>4</v>
      </c>
      <c r="K312" s="26"/>
      <c r="L312" s="26" t="s">
        <v>350</v>
      </c>
      <c r="M312" s="26" t="s">
        <v>351</v>
      </c>
      <c r="N312" s="9" t="str">
        <f>LEFT(INDEX('2026_LPCH_IntestineCadDonor'!$A$1:$E$30,MATCH($H312,'2026_LPCH_IntestineCadDonor'!$A$1:$A$30),MATCH(I312,'2026_LPCH_IntestineCadDonor'!$A$1:$D$1)),30)</f>
        <v>PREP AND TRANSPLANT</v>
      </c>
      <c r="O312" s="16">
        <v>273994</v>
      </c>
      <c r="P312" s="507">
        <f t="shared" ref="P312:P315" si="71">ROUND(O312*$G$2,0)</f>
        <v>282899</v>
      </c>
    </row>
    <row r="313" spans="1:17">
      <c r="A313" s="1" t="e">
        <f ca="1">'2026_LPCH_IntestineCadDonor'!$A$1</f>
        <v>#VALUE!</v>
      </c>
      <c r="B313" s="14" t="e">
        <f t="shared" ca="1" si="64"/>
        <v>#VALUE!</v>
      </c>
      <c r="C313" s="1" t="s">
        <v>365</v>
      </c>
      <c r="D313" s="5" t="e" cm="1">
        <f t="array" aca="1" ref="D313" ca="1">RIGHT(INDIRECT(ADDRESS(7,2,,,$A313)),6)</f>
        <v>#VALUE!</v>
      </c>
      <c r="E313" s="1" t="e" cm="1">
        <f t="array" aca="1" ref="E313" ca="1">RIGHT(INDIRECT(ADDRESS(4,2,,,$A313)),5)</f>
        <v>#VALUE!</v>
      </c>
      <c r="F313" s="22">
        <v>1.0335000000000001</v>
      </c>
      <c r="G313" s="22">
        <f t="shared" si="54"/>
        <v>1.0325</v>
      </c>
      <c r="H313" s="7">
        <v>3</v>
      </c>
      <c r="I313" s="7">
        <v>3</v>
      </c>
      <c r="J313" s="26">
        <v>4</v>
      </c>
      <c r="K313" s="26"/>
      <c r="L313" s="26" t="s">
        <v>350</v>
      </c>
      <c r="M313" s="26" t="s">
        <v>351</v>
      </c>
      <c r="N313" s="9" t="str">
        <f>LEFT(INDEX('2026_LPCH_IntestineCadDonor'!$A$1:$E$30,MATCH($H313,'2026_LPCH_IntestineCadDonor'!$A$1:$A$30),MATCH(I313,'2026_LPCH_IntestineCadDonor'!$A$1:$D$1)),30)</f>
        <v>FOLLOW UP CARE - From day 1 po</v>
      </c>
      <c r="O313" s="16">
        <v>239743</v>
      </c>
      <c r="P313" s="507">
        <f t="shared" si="71"/>
        <v>247535</v>
      </c>
    </row>
    <row r="314" spans="1:17">
      <c r="A314" s="1" t="e">
        <f ca="1">'2026_LPCH_IntestineCadDonor'!$A$1</f>
        <v>#VALUE!</v>
      </c>
      <c r="B314" s="14" t="e">
        <f t="shared" ca="1" si="64"/>
        <v>#VALUE!</v>
      </c>
      <c r="C314" s="1" t="s">
        <v>365</v>
      </c>
      <c r="D314" s="5" t="e" cm="1">
        <f t="array" aca="1" ref="D314" ca="1">RIGHT(INDIRECT(ADDRESS(7,2,,,$A314)),6)</f>
        <v>#VALUE!</v>
      </c>
      <c r="E314" s="1" t="e" cm="1">
        <f t="array" aca="1" ref="E314" ca="1">RIGHT(INDIRECT(ADDRESS(4,2,,,$A314)),5)</f>
        <v>#VALUE!</v>
      </c>
      <c r="F314" s="22">
        <v>1.0335000000000001</v>
      </c>
      <c r="G314" s="22">
        <f t="shared" si="54"/>
        <v>1.0325</v>
      </c>
      <c r="H314" s="7">
        <v>4</v>
      </c>
      <c r="I314" s="7">
        <v>3</v>
      </c>
      <c r="J314" s="26">
        <v>4</v>
      </c>
      <c r="K314" s="26"/>
      <c r="L314" s="26" t="s">
        <v>350</v>
      </c>
      <c r="M314" s="26" t="s">
        <v>351</v>
      </c>
      <c r="N314" s="9" t="str">
        <f>LEFT(INDEX('2026_LPCH_IntestineCadDonor'!$A$1:$E$30,MATCH($H314,'2026_LPCH_IntestineCadDonor'!$A$1:$A$30),MATCH(I314,'2026_LPCH_IntestineCadDonor'!$A$1:$D$1)),30)</f>
        <v>FOLLOW UP CARE - From day 31 p</v>
      </c>
      <c r="O314" s="16">
        <v>61646</v>
      </c>
      <c r="P314" s="507">
        <f t="shared" si="71"/>
        <v>63649</v>
      </c>
    </row>
    <row r="315" spans="1:17">
      <c r="A315" s="1" t="e">
        <f ca="1">'2026_LPCH_IntestineCadDonor'!$A$1</f>
        <v>#VALUE!</v>
      </c>
      <c r="B315" s="14" t="e">
        <f t="shared" ca="1" si="64"/>
        <v>#VALUE!</v>
      </c>
      <c r="C315" s="1" t="s">
        <v>365</v>
      </c>
      <c r="D315" s="5" t="e" cm="1">
        <f t="array" aca="1" ref="D315" ca="1">RIGHT(INDIRECT(ADDRESS(7,2,,,$A315)),6)</f>
        <v>#VALUE!</v>
      </c>
      <c r="E315" s="1" t="e" cm="1">
        <f t="array" aca="1" ref="E315" ca="1">RIGHT(INDIRECT(ADDRESS(4,2,,,$A315)),5)</f>
        <v>#VALUE!</v>
      </c>
      <c r="F315" s="22">
        <v>1.0335000000000001</v>
      </c>
      <c r="G315" s="22">
        <f t="shared" si="54"/>
        <v>1.0325</v>
      </c>
      <c r="H315" s="7">
        <v>5</v>
      </c>
      <c r="I315" s="7">
        <v>3</v>
      </c>
      <c r="J315" s="26">
        <v>4</v>
      </c>
      <c r="K315" s="26"/>
      <c r="L315" s="26" t="s">
        <v>350</v>
      </c>
      <c r="M315" s="26" t="s">
        <v>351</v>
      </c>
      <c r="N315" s="9" t="str">
        <f>LEFT(INDEX('2026_LPCH_IntestineCadDonor'!$A$1:$E$30,MATCH($H315,'2026_LPCH_IntestineCadDonor'!$A$1:$A$30),MATCH(I315,'2026_LPCH_IntestineCadDonor'!$A$1:$D$1)),30)</f>
        <v>Intestinal cases will be reimb</v>
      </c>
      <c r="O315" s="16">
        <v>1452130</v>
      </c>
      <c r="P315" s="507">
        <f t="shared" si="71"/>
        <v>1499324</v>
      </c>
      <c r="Q315" s="14" t="s">
        <v>353</v>
      </c>
    </row>
    <row r="316" spans="1:17">
      <c r="A316" s="1" t="e">
        <f ca="1">'2026_LPCH_IntestineCadDonor'!$A$1</f>
        <v>#VALUE!</v>
      </c>
      <c r="B316" s="14" t="e">
        <f t="shared" ca="1" si="64"/>
        <v>#VALUE!</v>
      </c>
      <c r="C316" s="1" t="s">
        <v>365</v>
      </c>
      <c r="D316" s="5" t="e" cm="1">
        <f t="array" aca="1" ref="D316" ca="1">RIGHT(INDIRECT(ADDRESS(7,2,,,$A316)),6)</f>
        <v>#VALUE!</v>
      </c>
      <c r="E316" s="1" t="e" cm="1">
        <f t="array" aca="1" ref="E316" ca="1">RIGHT(INDIRECT(ADDRESS(4,2,,,$A316)),5)</f>
        <v>#VALUE!</v>
      </c>
      <c r="F316" s="22">
        <v>1.0335000000000001</v>
      </c>
      <c r="G316" s="22">
        <f t="shared" si="54"/>
        <v>1.0325</v>
      </c>
      <c r="H316" s="7">
        <v>6</v>
      </c>
      <c r="I316" s="7">
        <v>3</v>
      </c>
      <c r="J316" s="26">
        <v>4</v>
      </c>
      <c r="K316" s="26"/>
      <c r="L316" s="26" t="s">
        <v>350</v>
      </c>
      <c r="M316" s="26" t="s">
        <v>351</v>
      </c>
      <c r="N316" s="9" t="str">
        <f>LEFT(INDEX('2026_LPCH_IntestineCadDonor'!$A$1:$E$30,MATCH($H316,'2026_LPCH_IntestineCadDonor'!$A$1:$A$30),MATCH(I316,'2026_LPCH_IntestineCadDonor'!$A$1:$D$1)),30)</f>
        <v>Rate Above Threshold</v>
      </c>
      <c r="O316" s="16">
        <v>0.35</v>
      </c>
      <c r="P316" s="507">
        <f t="shared" ref="P316:P317" si="72">O316</f>
        <v>0.35</v>
      </c>
      <c r="Q316" s="14" t="s">
        <v>354</v>
      </c>
    </row>
    <row r="317" spans="1:17">
      <c r="A317" s="1" t="e">
        <f ca="1">'2026_LPCH_IntestineCadDonor'!$A$1</f>
        <v>#VALUE!</v>
      </c>
      <c r="B317" s="14" t="e">
        <f t="shared" ca="1" si="64"/>
        <v>#VALUE!</v>
      </c>
      <c r="C317" s="1" t="s">
        <v>365</v>
      </c>
      <c r="D317" s="5" t="e" cm="1">
        <f t="array" aca="1" ref="D317" ca="1">RIGHT(INDIRECT(ADDRESS(7,2,,,$A317)),6)</f>
        <v>#VALUE!</v>
      </c>
      <c r="E317" s="1" t="e" cm="1">
        <f t="array" aca="1" ref="E317" ca="1">RIGHT(INDIRECT(ADDRESS(4,2,,,$A317)),5)</f>
        <v>#VALUE!</v>
      </c>
      <c r="F317" s="22">
        <v>1.0335000000000001</v>
      </c>
      <c r="G317" s="22">
        <f t="shared" si="54"/>
        <v>1.0325</v>
      </c>
      <c r="H317" s="7">
        <v>7</v>
      </c>
      <c r="I317" s="7">
        <v>3</v>
      </c>
      <c r="J317" s="26">
        <v>4</v>
      </c>
      <c r="K317" s="26"/>
      <c r="L317" s="26" t="s">
        <v>350</v>
      </c>
      <c r="M317" s="26" t="s">
        <v>351</v>
      </c>
      <c r="N317" s="9" t="str">
        <f>LEFT(INDEX('2026_LPCH_IntestineCadDonor'!$A$1:$E$30,MATCH($H317,'2026_LPCH_IntestineCadDonor'!$A$1:$A$30),MATCH(I317,'2026_LPCH_IntestineCadDonor'!$A$1:$D$1)),30)</f>
        <v>Days 61+ through date of disch</v>
      </c>
      <c r="O317" s="16">
        <v>0.35</v>
      </c>
      <c r="P317" s="507">
        <f t="shared" si="72"/>
        <v>0.35</v>
      </c>
      <c r="Q317" s="14" t="s">
        <v>354</v>
      </c>
    </row>
    <row r="318" spans="1:17">
      <c r="A318" s="1" t="e">
        <f ca="1">'2026_MAYO_BMT_AUT_ADULT'!$A$1</f>
        <v>#VALUE!</v>
      </c>
      <c r="B318" s="14" t="e">
        <f t="shared" ca="1" si="64"/>
        <v>#VALUE!</v>
      </c>
      <c r="C318" s="1" t="s">
        <v>370</v>
      </c>
      <c r="D318" s="4" t="e" cm="1">
        <f t="array" aca="1" ref="D318" ca="1">RIGHT(INDIRECT(ADDRESS(6,2,,,$A318)),6)</f>
        <v>#VALUE!</v>
      </c>
      <c r="E318" s="1" t="e" cm="1">
        <f t="array" aca="1" ref="E318" ca="1">RIGHT(INDIRECT(ADDRESS(4,2,,,$A318)),5)</f>
        <v>#VALUE!</v>
      </c>
      <c r="F318" s="22">
        <v>1.0335000000000001</v>
      </c>
      <c r="G318" s="22">
        <f t="shared" si="54"/>
        <v>1.0325</v>
      </c>
      <c r="H318" s="7">
        <v>1</v>
      </c>
      <c r="I318" s="7">
        <v>3</v>
      </c>
      <c r="J318" s="26">
        <v>4</v>
      </c>
      <c r="K318" s="26"/>
      <c r="L318" s="26" t="s">
        <v>350</v>
      </c>
      <c r="M318" s="26" t="s">
        <v>351</v>
      </c>
      <c r="N318" s="9" t="str">
        <f>LEFT(INDEX('2026_MAYO_BMT_AUT_ADULT'!$A$1:$E$30,MATCH($H318,'2026_MAYO_BMT_AUT_ADULT'!$A$1:$A$30),MATCH(I318,'2026_MAYO_BMT_AUT_ADULT'!$A$1:$D$1)),30)</f>
        <v>OUTPATIENT EVALUATION* - Initi</v>
      </c>
      <c r="O318" s="16">
        <v>6304</v>
      </c>
      <c r="P318" s="507">
        <f t="shared" ref="P318:P322" si="73">ROUND(O318*$G$2,0)</f>
        <v>6509</v>
      </c>
    </row>
    <row r="319" spans="1:17">
      <c r="A319" s="1" t="e">
        <f ca="1">'2026_MAYO_BMT_AUT_ADULT'!$A$1</f>
        <v>#VALUE!</v>
      </c>
      <c r="B319" s="14" t="e">
        <f t="shared" ca="1" si="64"/>
        <v>#VALUE!</v>
      </c>
      <c r="C319" s="1" t="s">
        <v>370</v>
      </c>
      <c r="D319" s="4" t="e" cm="1">
        <f t="array" aca="1" ref="D319" ca="1">RIGHT(INDIRECT(ADDRESS(6,2,,,$A319)),6)</f>
        <v>#VALUE!</v>
      </c>
      <c r="E319" s="1" t="e" cm="1">
        <f t="array" aca="1" ref="E319" ca="1">RIGHT(INDIRECT(ADDRESS(4,2,,,$A319)),5)</f>
        <v>#VALUE!</v>
      </c>
      <c r="F319" s="22">
        <v>1.0335000000000001</v>
      </c>
      <c r="G319" s="22">
        <f t="shared" si="54"/>
        <v>1.0325</v>
      </c>
      <c r="H319" s="7">
        <v>2</v>
      </c>
      <c r="I319" s="7">
        <v>3</v>
      </c>
      <c r="J319" s="26">
        <v>4</v>
      </c>
      <c r="K319" s="26"/>
      <c r="L319" s="26" t="s">
        <v>350</v>
      </c>
      <c r="M319" s="26" t="s">
        <v>351</v>
      </c>
      <c r="N319" s="9" t="str">
        <f>LEFT(INDEX('2026_MAYO_BMT_AUT_ADULT'!$A$1:$E$30,MATCH($H319,'2026_MAYO_BMT_AUT_ADULT'!$A$1:$A$30),MATCH(I319,'2026_MAYO_BMT_AUT_ADULT'!$A$1:$D$1)),30)</f>
        <v>AUTOLOGOUS HARVEST</v>
      </c>
      <c r="O319" s="16">
        <v>15603</v>
      </c>
      <c r="P319" s="507">
        <f t="shared" si="73"/>
        <v>16110</v>
      </c>
    </row>
    <row r="320" spans="1:17">
      <c r="A320" s="1" t="e">
        <f ca="1">'2026_MAYO_BMT_AUT_ADULT'!$A$1</f>
        <v>#VALUE!</v>
      </c>
      <c r="B320" s="14" t="e">
        <f t="shared" ca="1" si="64"/>
        <v>#VALUE!</v>
      </c>
      <c r="C320" s="1" t="s">
        <v>370</v>
      </c>
      <c r="D320" s="4" t="e" cm="1">
        <f t="array" aca="1" ref="D320" ca="1">RIGHT(INDIRECT(ADDRESS(6,2,,,$A320)),6)</f>
        <v>#VALUE!</v>
      </c>
      <c r="E320" s="1" t="e" cm="1">
        <f t="array" aca="1" ref="E320" ca="1">RIGHT(INDIRECT(ADDRESS(4,2,,,$A320)),5)</f>
        <v>#VALUE!</v>
      </c>
      <c r="F320" s="22">
        <v>1.0335000000000001</v>
      </c>
      <c r="G320" s="22">
        <f t="shared" si="54"/>
        <v>1.0325</v>
      </c>
      <c r="H320" s="7">
        <v>3</v>
      </c>
      <c r="I320" s="7">
        <v>3</v>
      </c>
      <c r="J320" s="26">
        <v>4</v>
      </c>
      <c r="K320" s="26"/>
      <c r="L320" s="26" t="s">
        <v>350</v>
      </c>
      <c r="M320" s="26" t="s">
        <v>351</v>
      </c>
      <c r="N320" s="9" t="str">
        <f>LEFT(INDEX('2026_MAYO_BMT_AUT_ADULT'!$A$1:$E$30,MATCH($H320,'2026_MAYO_BMT_AUT_ADULT'!$A$1:$A$30),MATCH(I320,'2026_MAYO_BMT_AUT_ADULT'!$A$1:$D$1)),30)</f>
        <v>PREP AND TRANSPLANT</v>
      </c>
      <c r="O320" s="16">
        <v>117013</v>
      </c>
      <c r="P320" s="507">
        <f t="shared" si="73"/>
        <v>120816</v>
      </c>
    </row>
    <row r="321" spans="1:17">
      <c r="A321" s="1" t="e">
        <f ca="1">'2026_MAYO_BMT_AUT_ADULT'!$A$1</f>
        <v>#VALUE!</v>
      </c>
      <c r="B321" s="14" t="e">
        <f t="shared" ca="1" si="64"/>
        <v>#VALUE!</v>
      </c>
      <c r="C321" s="1" t="s">
        <v>370</v>
      </c>
      <c r="D321" s="4" t="e" cm="1">
        <f t="array" aca="1" ref="D321" ca="1">RIGHT(INDIRECT(ADDRESS(6,2,,,$A321)),6)</f>
        <v>#VALUE!</v>
      </c>
      <c r="E321" s="1" t="e" cm="1">
        <f t="array" aca="1" ref="E321" ca="1">RIGHT(INDIRECT(ADDRESS(4,2,,,$A321)),5)</f>
        <v>#VALUE!</v>
      </c>
      <c r="F321" s="22">
        <v>1.0335000000000001</v>
      </c>
      <c r="G321" s="22">
        <f t="shared" si="54"/>
        <v>1.0325</v>
      </c>
      <c r="H321" s="7">
        <v>4</v>
      </c>
      <c r="I321" s="7">
        <v>3</v>
      </c>
      <c r="J321" s="26">
        <v>4</v>
      </c>
      <c r="K321" s="26"/>
      <c r="L321" s="26" t="s">
        <v>350</v>
      </c>
      <c r="M321" s="26" t="s">
        <v>351</v>
      </c>
      <c r="N321" s="9" t="str">
        <f>LEFT(INDEX('2026_MAYO_BMT_AUT_ADULT'!$A$1:$E$30,MATCH($H321,'2026_MAYO_BMT_AUT_ADULT'!$A$1:$A$30),MATCH(I321,'2026_MAYO_BMT_AUT_ADULT'!$A$1:$D$1)),30)</f>
        <v>FOLLOW UP CARE - From day 1 po</v>
      </c>
      <c r="O321" s="16">
        <v>29644</v>
      </c>
      <c r="P321" s="507">
        <f t="shared" si="73"/>
        <v>30607</v>
      </c>
    </row>
    <row r="322" spans="1:17">
      <c r="A322" s="1" t="e">
        <f ca="1">'2026_MAYO_BMT_AUT_ADULT'!$A$1</f>
        <v>#VALUE!</v>
      </c>
      <c r="B322" s="14" t="e">
        <f t="shared" ca="1" si="64"/>
        <v>#VALUE!</v>
      </c>
      <c r="C322" s="1" t="s">
        <v>370</v>
      </c>
      <c r="D322" s="4" t="e" cm="1">
        <f t="array" aca="1" ref="D322" ca="1">RIGHT(INDIRECT(ADDRESS(6,2,,,$A322)),6)</f>
        <v>#VALUE!</v>
      </c>
      <c r="E322" s="1" t="e" cm="1">
        <f t="array" aca="1" ref="E322" ca="1">RIGHT(INDIRECT(ADDRESS(4,2,,,$A322)),5)</f>
        <v>#VALUE!</v>
      </c>
      <c r="F322" s="22">
        <v>1.0335000000000001</v>
      </c>
      <c r="G322" s="22">
        <f t="shared" si="54"/>
        <v>1.0325</v>
      </c>
      <c r="H322" s="7">
        <v>5</v>
      </c>
      <c r="I322" s="7">
        <v>3</v>
      </c>
      <c r="J322" s="26">
        <v>4</v>
      </c>
      <c r="K322" s="26"/>
      <c r="L322" s="26" t="s">
        <v>350</v>
      </c>
      <c r="M322" s="26" t="s">
        <v>351</v>
      </c>
      <c r="N322" s="9" t="str">
        <f>LEFT(INDEX('2026_MAYO_BMT_AUT_ADULT'!$A$1:$E$30,MATCH($H322,'2026_MAYO_BMT_AUT_ADULT'!$A$1:$A$30),MATCH(I322,'2026_MAYO_BMT_AUT_ADULT'!$A$1:$D$1)),30)</f>
        <v xml:space="preserve">FOLLOW UP CARE - From day 31  </v>
      </c>
      <c r="O322" s="16">
        <v>10922</v>
      </c>
      <c r="P322" s="507">
        <f t="shared" si="73"/>
        <v>11277</v>
      </c>
    </row>
    <row r="323" spans="1:17">
      <c r="A323" s="1" t="e">
        <f ca="1">'2026_MAYO_BMT_AUT_ADULT'!$A$1</f>
        <v>#VALUE!</v>
      </c>
      <c r="B323" s="14" t="e">
        <f t="shared" ca="1" si="64"/>
        <v>#VALUE!</v>
      </c>
      <c r="C323" s="1" t="s">
        <v>370</v>
      </c>
      <c r="D323" s="4" t="e" cm="1">
        <f t="array" aca="1" ref="D323" ca="1">RIGHT(INDIRECT(ADDRESS(6,2,,,$A323)),6)</f>
        <v>#VALUE!</v>
      </c>
      <c r="E323" s="1" t="e" cm="1">
        <f t="array" aca="1" ref="E323" ca="1">RIGHT(INDIRECT(ADDRESS(4,2,,,$A323)),5)</f>
        <v>#VALUE!</v>
      </c>
      <c r="F323" s="22">
        <v>1.0335000000000001</v>
      </c>
      <c r="G323" s="22">
        <f t="shared" si="54"/>
        <v>1.0325</v>
      </c>
      <c r="H323" s="7">
        <v>6</v>
      </c>
      <c r="I323" s="7">
        <v>3</v>
      </c>
      <c r="J323" s="26">
        <v>4</v>
      </c>
      <c r="K323" s="26"/>
      <c r="L323" s="26" t="s">
        <v>350</v>
      </c>
      <c r="M323" s="26" t="s">
        <v>351</v>
      </c>
      <c r="N323" s="9" t="str">
        <f>LEFT(INDEX('2026_MAYO_BMT_AUT_ADULT'!$A$1:$E$30,MATCH($H323,'2026_MAYO_BMT_AUT_ADULT'!$A$1:$A$30),MATCH(I323,'2026_MAYO_BMT_AUT_ADULT'!$A$1:$D$1)),30)</f>
        <v>OUTPATIENT FOLLOW UP CARE - Fr</v>
      </c>
      <c r="O323" s="16" t="s">
        <v>371</v>
      </c>
      <c r="P323" s="507" t="str">
        <f t="shared" ref="P323" si="74">O323</f>
        <v>Fee For Service rates</v>
      </c>
      <c r="Q323" s="14" t="s">
        <v>354</v>
      </c>
    </row>
    <row r="324" spans="1:17">
      <c r="A324" s="1" t="e">
        <f ca="1">'2026_MAYO_BMT_AUT_ADULT'!$A$1</f>
        <v>#VALUE!</v>
      </c>
      <c r="B324" s="14" t="e">
        <f t="shared" ca="1" si="64"/>
        <v>#VALUE!</v>
      </c>
      <c r="C324" s="1" t="s">
        <v>370</v>
      </c>
      <c r="D324" s="4" t="e" cm="1">
        <f t="array" aca="1" ref="D324" ca="1">RIGHT(INDIRECT(ADDRESS(6,2,,,$A324)),6)</f>
        <v>#VALUE!</v>
      </c>
      <c r="E324" s="1" t="e" cm="1">
        <f t="array" aca="1" ref="E324" ca="1">RIGHT(INDIRECT(ADDRESS(4,2,,,$A324)),5)</f>
        <v>#VALUE!</v>
      </c>
      <c r="F324" s="22">
        <v>1.0335000000000001</v>
      </c>
      <c r="G324" s="22">
        <f t="shared" si="54"/>
        <v>1.0325</v>
      </c>
      <c r="H324" s="7">
        <v>7</v>
      </c>
      <c r="I324" s="7">
        <v>3</v>
      </c>
      <c r="J324" s="26">
        <v>4</v>
      </c>
      <c r="K324" s="26"/>
      <c r="L324" s="26" t="s">
        <v>350</v>
      </c>
      <c r="M324" s="26" t="s">
        <v>351</v>
      </c>
      <c r="N324" s="9" t="str">
        <f>LEFT(INDEX('2026_MAYO_BMT_AUT_ADULT'!$A$1:$E$30,MATCH($H324,'2026_MAYO_BMT_AUT_ADULT'!$A$1:$A$30),MATCH(I324,'2026_MAYO_BMT_AUT_ADULT'!$A$1:$D$1)),30)</f>
        <v xml:space="preserve">PER DIEM RATES for day 61+ of </v>
      </c>
      <c r="O324" s="16">
        <v>2474</v>
      </c>
      <c r="P324" s="507">
        <f t="shared" ref="P324" si="75">ROUND(O324*$G$2,0)</f>
        <v>2554</v>
      </c>
    </row>
    <row r="325" spans="1:17">
      <c r="A325" s="1" t="e">
        <f ca="1">'2026_MAYO_BMT_AUT_ADULT'!$A$1</f>
        <v>#VALUE!</v>
      </c>
      <c r="B325" s="14" t="e">
        <f t="shared" ca="1" si="64"/>
        <v>#VALUE!</v>
      </c>
      <c r="C325" s="1" t="s">
        <v>370</v>
      </c>
      <c r="D325" s="4" t="e" cm="1">
        <f t="array" aca="1" ref="D325" ca="1">RIGHT(INDIRECT(ADDRESS(6,2,,,$A325)),6)</f>
        <v>#VALUE!</v>
      </c>
      <c r="E325" s="1" t="e" cm="1">
        <f t="array" aca="1" ref="E325" ca="1">RIGHT(INDIRECT(ADDRESS(4,2,,,$A325)),5)</f>
        <v>#VALUE!</v>
      </c>
      <c r="F325" s="22">
        <v>1.0335000000000001</v>
      </c>
      <c r="G325" s="22">
        <f t="shared" ref="G325:G388" si="76">$G$2</f>
        <v>1.0325</v>
      </c>
      <c r="H325" s="7">
        <v>8</v>
      </c>
      <c r="I325" s="7">
        <v>3</v>
      </c>
      <c r="J325" s="26">
        <v>4</v>
      </c>
      <c r="K325" s="26"/>
      <c r="L325" s="26" t="s">
        <v>350</v>
      </c>
      <c r="M325" s="26" t="s">
        <v>351</v>
      </c>
      <c r="N325" s="9" t="str">
        <f>LEFT(INDEX('2026_MAYO_BMT_AUT_ADULT'!$A$1:$E$30,MATCH($H325,'2026_MAYO_BMT_AUT_ADULT'!$A$1:$A$30),MATCH(I325,'2026_MAYO_BMT_AUT_ADULT'!$A$1:$D$1)),30)</f>
        <v>Days 11+/61+ paid at the per d</v>
      </c>
      <c r="O325" s="16">
        <v>7263.18</v>
      </c>
      <c r="P325" s="509">
        <f>O325*$Q$2</f>
        <v>8014.1928120000002</v>
      </c>
      <c r="Q325" s="14" t="s">
        <v>352</v>
      </c>
    </row>
    <row r="326" spans="1:17">
      <c r="A326" s="1" t="e">
        <f ca="1">'2026_MAYO_BMT_ALLO_REL_ADULT'!$A$1</f>
        <v>#VALUE!</v>
      </c>
      <c r="B326" s="14" t="e">
        <f t="shared" ca="1" si="64"/>
        <v>#VALUE!</v>
      </c>
      <c r="C326" s="1" t="s">
        <v>370</v>
      </c>
      <c r="D326" s="4" t="e" cm="1">
        <f t="array" aca="1" ref="D326" ca="1">RIGHT(INDIRECT(ADDRESS(6,2,,,$A326)),6)</f>
        <v>#VALUE!</v>
      </c>
      <c r="E326" s="1" t="e" cm="1">
        <f t="array" aca="1" ref="E326" ca="1">RIGHT(INDIRECT(ADDRESS(4,2,,,$A326)),5)</f>
        <v>#VALUE!</v>
      </c>
      <c r="F326" s="22">
        <v>1.0335000000000001</v>
      </c>
      <c r="G326" s="22">
        <f t="shared" si="76"/>
        <v>1.0325</v>
      </c>
      <c r="H326" s="7">
        <v>1</v>
      </c>
      <c r="I326" s="7">
        <v>3</v>
      </c>
      <c r="J326" s="26">
        <v>4</v>
      </c>
      <c r="K326" s="26"/>
      <c r="L326" s="26" t="s">
        <v>350</v>
      </c>
      <c r="M326" s="26" t="s">
        <v>351</v>
      </c>
      <c r="N326" s="9" t="str">
        <f>LEFT(INDEX('2026_MAYO_BMT_ALLO_REL_ADULT'!$A$1:$E$30,MATCH($H326,'2026_MAYO_BMT_ALLO_REL_ADULT'!$A$1:$A$30),MATCH(I326,'2026_MAYO_BMT_ALLO_REL_ADULT'!$A$1:$D$1)),30)</f>
        <v>OUTPATIENT EVALUATION* - Initi</v>
      </c>
      <c r="O326" s="16">
        <v>6348</v>
      </c>
      <c r="P326" s="507">
        <f t="shared" ref="P326:P331" si="77">ROUND(O326*$G$2,0)</f>
        <v>6554</v>
      </c>
    </row>
    <row r="327" spans="1:17">
      <c r="A327" s="1" t="e">
        <f ca="1">'2026_MAYO_BMT_ALLO_REL_ADULT'!$A$1</f>
        <v>#VALUE!</v>
      </c>
      <c r="B327" s="14" t="e">
        <f t="shared" ca="1" si="64"/>
        <v>#VALUE!</v>
      </c>
      <c r="C327" s="1" t="s">
        <v>370</v>
      </c>
      <c r="D327" s="4" t="e" cm="1">
        <f t="array" aca="1" ref="D327" ca="1">RIGHT(INDIRECT(ADDRESS(6,2,,,$A327)),6)</f>
        <v>#VALUE!</v>
      </c>
      <c r="E327" s="1" t="e" cm="1">
        <f t="array" aca="1" ref="E327" ca="1">RIGHT(INDIRECT(ADDRESS(4,2,,,$A327)),5)</f>
        <v>#VALUE!</v>
      </c>
      <c r="F327" s="22">
        <v>1.0335000000000001</v>
      </c>
      <c r="G327" s="22">
        <f t="shared" si="76"/>
        <v>1.0325</v>
      </c>
      <c r="H327" s="7">
        <v>2</v>
      </c>
      <c r="I327" s="7">
        <v>3</v>
      </c>
      <c r="J327" s="26">
        <v>4</v>
      </c>
      <c r="K327" s="26"/>
      <c r="L327" s="26" t="s">
        <v>350</v>
      </c>
      <c r="M327" s="26" t="s">
        <v>351</v>
      </c>
      <c r="N327" s="9" t="str">
        <f>LEFT(INDEX('2026_MAYO_BMT_ALLO_REL_ADULT'!$A$1:$E$30,MATCH($H327,'2026_MAYO_BMT_ALLO_REL_ADULT'!$A$1:$A$30),MATCH(I327,'2026_MAYO_BMT_ALLO_REL_ADULT'!$A$1:$D$1)),30)</f>
        <v xml:space="preserve">RELATED DONOR SEARCH* </v>
      </c>
      <c r="O327" s="16">
        <v>6768</v>
      </c>
      <c r="P327" s="507">
        <f t="shared" si="77"/>
        <v>6988</v>
      </c>
    </row>
    <row r="328" spans="1:17">
      <c r="A328" s="1" t="e">
        <f ca="1">'2026_MAYO_BMT_ALLO_REL_ADULT'!$A$1</f>
        <v>#VALUE!</v>
      </c>
      <c r="B328" s="14" t="e">
        <f t="shared" ca="1" si="64"/>
        <v>#VALUE!</v>
      </c>
      <c r="C328" s="1" t="s">
        <v>370</v>
      </c>
      <c r="D328" s="4" t="e" cm="1">
        <f t="array" aca="1" ref="D328" ca="1">RIGHT(INDIRECT(ADDRESS(6,2,,,$A328)),6)</f>
        <v>#VALUE!</v>
      </c>
      <c r="E328" s="1" t="e" cm="1">
        <f t="array" aca="1" ref="E328" ca="1">RIGHT(INDIRECT(ADDRESS(4,2,,,$A328)),5)</f>
        <v>#VALUE!</v>
      </c>
      <c r="F328" s="22">
        <v>1.0335000000000001</v>
      </c>
      <c r="G328" s="22">
        <f t="shared" si="76"/>
        <v>1.0325</v>
      </c>
      <c r="H328" s="7">
        <v>3</v>
      </c>
      <c r="I328" s="7">
        <v>3</v>
      </c>
      <c r="J328" s="26">
        <v>4</v>
      </c>
      <c r="K328" s="26"/>
      <c r="L328" s="26" t="s">
        <v>350</v>
      </c>
      <c r="M328" s="26" t="s">
        <v>351</v>
      </c>
      <c r="N328" s="9" t="str">
        <f>LEFT(INDEX('2026_MAYO_BMT_ALLO_REL_ADULT'!$A$1:$E$30,MATCH($H328,'2026_MAYO_BMT_ALLO_REL_ADULT'!$A$1:$A$30),MATCH(I328,'2026_MAYO_BMT_ALLO_REL_ADULT'!$A$1:$D$1)),30)</f>
        <v>DONOR RELATED HARVEST (NATIONA</v>
      </c>
      <c r="O328" s="16">
        <v>16917</v>
      </c>
      <c r="P328" s="507">
        <f t="shared" si="77"/>
        <v>17467</v>
      </c>
    </row>
    <row r="329" spans="1:17">
      <c r="A329" s="1" t="e">
        <f ca="1">'2026_MAYO_BMT_ALLO_REL_ADULT'!$A$1</f>
        <v>#VALUE!</v>
      </c>
      <c r="B329" s="14" t="e">
        <f t="shared" ca="1" si="64"/>
        <v>#VALUE!</v>
      </c>
      <c r="C329" s="1" t="s">
        <v>370</v>
      </c>
      <c r="D329" s="4" t="e" cm="1">
        <f t="array" aca="1" ref="D329" ca="1">RIGHT(INDIRECT(ADDRESS(6,2,,,$A329)),6)</f>
        <v>#VALUE!</v>
      </c>
      <c r="E329" s="1" t="e" cm="1">
        <f t="array" aca="1" ref="E329" ca="1">RIGHT(INDIRECT(ADDRESS(4,2,,,$A329)),5)</f>
        <v>#VALUE!</v>
      </c>
      <c r="F329" s="22">
        <v>1.0335000000000001</v>
      </c>
      <c r="G329" s="22">
        <f t="shared" si="76"/>
        <v>1.0325</v>
      </c>
      <c r="H329" s="7">
        <v>4</v>
      </c>
      <c r="I329" s="7">
        <v>3</v>
      </c>
      <c r="J329" s="26">
        <v>4</v>
      </c>
      <c r="K329" s="26"/>
      <c r="L329" s="26" t="s">
        <v>350</v>
      </c>
      <c r="M329" s="26" t="s">
        <v>351</v>
      </c>
      <c r="N329" s="9" t="str">
        <f>LEFT(INDEX('2026_MAYO_BMT_ALLO_REL_ADULT'!$A$1:$E$30,MATCH($H329,'2026_MAYO_BMT_ALLO_REL_ADULT'!$A$1:$A$30),MATCH(I329,'2026_MAYO_BMT_ALLO_REL_ADULT'!$A$1:$D$1)),30)</f>
        <v>PREP AND TRANSPLANT</v>
      </c>
      <c r="O329" s="16">
        <v>50771</v>
      </c>
      <c r="P329" s="507">
        <f t="shared" si="77"/>
        <v>52421</v>
      </c>
    </row>
    <row r="330" spans="1:17">
      <c r="A330" s="1" t="e">
        <f ca="1">'2026_MAYO_BMT_ALLO_REL_ADULT'!$A$1</f>
        <v>#VALUE!</v>
      </c>
      <c r="B330" s="14" t="e">
        <f t="shared" ca="1" si="64"/>
        <v>#VALUE!</v>
      </c>
      <c r="C330" s="1" t="s">
        <v>370</v>
      </c>
      <c r="D330" s="4" t="e" cm="1">
        <f t="array" aca="1" ref="D330" ca="1">RIGHT(INDIRECT(ADDRESS(6,2,,,$A330)),6)</f>
        <v>#VALUE!</v>
      </c>
      <c r="E330" s="1" t="e" cm="1">
        <f t="array" aca="1" ref="E330" ca="1">RIGHT(INDIRECT(ADDRESS(4,2,,,$A330)),5)</f>
        <v>#VALUE!</v>
      </c>
      <c r="F330" s="22">
        <v>1.0335000000000001</v>
      </c>
      <c r="G330" s="22">
        <f t="shared" si="76"/>
        <v>1.0325</v>
      </c>
      <c r="H330" s="7">
        <v>5</v>
      </c>
      <c r="I330" s="7">
        <v>3</v>
      </c>
      <c r="J330" s="26">
        <v>4</v>
      </c>
      <c r="K330" s="26"/>
      <c r="L330" s="26" t="s">
        <v>350</v>
      </c>
      <c r="M330" s="26" t="s">
        <v>351</v>
      </c>
      <c r="N330" s="9" t="str">
        <f>LEFT(INDEX('2026_MAYO_BMT_ALLO_REL_ADULT'!$A$1:$E$30,MATCH($H330,'2026_MAYO_BMT_ALLO_REL_ADULT'!$A$1:$A$30),MATCH(I330,'2026_MAYO_BMT_ALLO_REL_ADULT'!$A$1:$D$1)),30)</f>
        <v>FOLLOW UP CARE - From day 1 po</v>
      </c>
      <c r="O330" s="16">
        <v>93079</v>
      </c>
      <c r="P330" s="507">
        <f t="shared" si="77"/>
        <v>96104</v>
      </c>
    </row>
    <row r="331" spans="1:17">
      <c r="A331" s="1" t="e">
        <f ca="1">'2026_MAYO_BMT_ALLO_REL_ADULT'!$A$1</f>
        <v>#VALUE!</v>
      </c>
      <c r="B331" s="14" t="e">
        <f t="shared" ca="1" si="64"/>
        <v>#VALUE!</v>
      </c>
      <c r="C331" s="1" t="s">
        <v>370</v>
      </c>
      <c r="D331" s="4" t="e" cm="1">
        <f t="array" aca="1" ref="D331" ca="1">RIGHT(INDIRECT(ADDRESS(6,2,,,$A331)),6)</f>
        <v>#VALUE!</v>
      </c>
      <c r="E331" s="1" t="e" cm="1">
        <f t="array" aca="1" ref="E331" ca="1">RIGHT(INDIRECT(ADDRESS(4,2,,,$A331)),5)</f>
        <v>#VALUE!</v>
      </c>
      <c r="F331" s="22">
        <v>1.0335000000000001</v>
      </c>
      <c r="G331" s="22">
        <f t="shared" si="76"/>
        <v>1.0325</v>
      </c>
      <c r="H331" s="7">
        <v>6</v>
      </c>
      <c r="I331" s="7">
        <v>3</v>
      </c>
      <c r="J331" s="26">
        <v>4</v>
      </c>
      <c r="K331" s="26"/>
      <c r="L331" s="26" t="s">
        <v>350</v>
      </c>
      <c r="M331" s="26" t="s">
        <v>351</v>
      </c>
      <c r="N331" s="9" t="str">
        <f>LEFT(INDEX('2026_MAYO_BMT_ALLO_REL_ADULT'!$A$1:$E$30,MATCH($H331,'2026_MAYO_BMT_ALLO_REL_ADULT'!$A$1:$A$30),MATCH(I331,'2026_MAYO_BMT_ALLO_REL_ADULT'!$A$1:$D$1)),30)</f>
        <v xml:space="preserve">FOLLOW UP CARE - From day 31  </v>
      </c>
      <c r="O331" s="16">
        <v>20307</v>
      </c>
      <c r="P331" s="507">
        <f t="shared" si="77"/>
        <v>20967</v>
      </c>
    </row>
    <row r="332" spans="1:17">
      <c r="A332" s="1" t="e">
        <f ca="1">'2026_MAYO_BMT_ALLO_REL_ADULT'!$A$1</f>
        <v>#VALUE!</v>
      </c>
      <c r="B332" s="14" t="e">
        <f t="shared" ca="1" si="64"/>
        <v>#VALUE!</v>
      </c>
      <c r="C332" s="1" t="s">
        <v>370</v>
      </c>
      <c r="D332" s="4" t="e" cm="1">
        <f t="array" aca="1" ref="D332" ca="1">RIGHT(INDIRECT(ADDRESS(6,2,,,$A332)),6)</f>
        <v>#VALUE!</v>
      </c>
      <c r="E332" s="1" t="e" cm="1">
        <f t="array" aca="1" ref="E332" ca="1">RIGHT(INDIRECT(ADDRESS(4,2,,,$A332)),5)</f>
        <v>#VALUE!</v>
      </c>
      <c r="F332" s="22">
        <v>1.0335000000000001</v>
      </c>
      <c r="G332" s="22">
        <f t="shared" si="76"/>
        <v>1.0325</v>
      </c>
      <c r="H332" s="7">
        <v>7</v>
      </c>
      <c r="I332" s="7">
        <v>3</v>
      </c>
      <c r="J332" s="26">
        <v>4</v>
      </c>
      <c r="K332" s="26"/>
      <c r="L332" s="26" t="s">
        <v>350</v>
      </c>
      <c r="M332" s="26" t="s">
        <v>351</v>
      </c>
      <c r="N332" s="9" t="str">
        <f>LEFT(INDEX('2026_MAYO_BMT_ALLO_REL_ADULT'!$A$1:$E$30,MATCH($H332,'2026_MAYO_BMT_ALLO_REL_ADULT'!$A$1:$A$30),MATCH(I332,'2026_MAYO_BMT_ALLO_REL_ADULT'!$A$1:$D$1)),30)</f>
        <v>OUTPATIENT FOLLOW UP CARE - Fr</v>
      </c>
      <c r="O332" s="16" t="s">
        <v>371</v>
      </c>
      <c r="P332" s="507" t="str">
        <f t="shared" ref="P332" si="78">O332</f>
        <v>Fee For Service rates</v>
      </c>
      <c r="Q332" s="14" t="s">
        <v>354</v>
      </c>
    </row>
    <row r="333" spans="1:17">
      <c r="A333" s="1" t="e">
        <f ca="1">'2026_MAYO_BMT_ALLO_REL_ADULT'!$A$1</f>
        <v>#VALUE!</v>
      </c>
      <c r="B333" s="14" t="e">
        <f t="shared" ca="1" si="64"/>
        <v>#VALUE!</v>
      </c>
      <c r="C333" s="1" t="s">
        <v>370</v>
      </c>
      <c r="D333" s="4" t="e" cm="1">
        <f t="array" aca="1" ref="D333" ca="1">RIGHT(INDIRECT(ADDRESS(6,2,,,$A333)),6)</f>
        <v>#VALUE!</v>
      </c>
      <c r="E333" s="1" t="e" cm="1">
        <f t="array" aca="1" ref="E333" ca="1">RIGHT(INDIRECT(ADDRESS(4,2,,,$A333)),5)</f>
        <v>#VALUE!</v>
      </c>
      <c r="F333" s="22">
        <v>1.0335000000000001</v>
      </c>
      <c r="G333" s="22">
        <f t="shared" si="76"/>
        <v>1.0325</v>
      </c>
      <c r="H333" s="7">
        <v>8</v>
      </c>
      <c r="I333" s="7">
        <v>3</v>
      </c>
      <c r="J333" s="26">
        <v>4</v>
      </c>
      <c r="K333" s="26"/>
      <c r="L333" s="26" t="s">
        <v>350</v>
      </c>
      <c r="M333" s="26" t="s">
        <v>351</v>
      </c>
      <c r="N333" s="9" t="str">
        <f>LEFT(INDEX('2026_MAYO_BMT_ALLO_REL_ADULT'!$A$1:$E$30,MATCH($H333,'2026_MAYO_BMT_ALLO_REL_ADULT'!$A$1:$A$30),MATCH(I333,'2026_MAYO_BMT_ALLO_REL_ADULT'!$A$1:$D$1)),30)</f>
        <v xml:space="preserve">PER DIEM RATES for day 61+ of </v>
      </c>
      <c r="O333" s="16">
        <v>2474</v>
      </c>
      <c r="P333" s="507">
        <f t="shared" ref="P333" si="79">ROUND(O333*$G$2,0)</f>
        <v>2554</v>
      </c>
    </row>
    <row r="334" spans="1:17">
      <c r="A334" s="1" t="e">
        <f ca="1">'2026_MAYO_BMT_ALLO_REL_ADULT'!$A$1</f>
        <v>#VALUE!</v>
      </c>
      <c r="B334" s="14" t="e">
        <f t="shared" ca="1" si="64"/>
        <v>#VALUE!</v>
      </c>
      <c r="C334" s="1" t="s">
        <v>370</v>
      </c>
      <c r="D334" s="4" t="e" cm="1">
        <f t="array" aca="1" ref="D334" ca="1">RIGHT(INDIRECT(ADDRESS(6,2,,,$A334)),6)</f>
        <v>#VALUE!</v>
      </c>
      <c r="E334" s="1" t="e" cm="1">
        <f t="array" aca="1" ref="E334" ca="1">RIGHT(INDIRECT(ADDRESS(4,2,,,$A334)),5)</f>
        <v>#VALUE!</v>
      </c>
      <c r="F334" s="22">
        <v>1.0335000000000001</v>
      </c>
      <c r="G334" s="22">
        <f t="shared" si="76"/>
        <v>1.0325</v>
      </c>
      <c r="H334" s="7">
        <v>9</v>
      </c>
      <c r="I334" s="7">
        <v>3</v>
      </c>
      <c r="J334" s="26">
        <v>4</v>
      </c>
      <c r="K334" s="26"/>
      <c r="L334" s="26" t="s">
        <v>350</v>
      </c>
      <c r="M334" s="26" t="s">
        <v>351</v>
      </c>
      <c r="N334" s="9" t="str">
        <f>LEFT(INDEX('2026_MAYO_BMT_ALLO_REL_ADULT'!$A$1:$E$30,MATCH($H334,'2026_MAYO_BMT_ALLO_REL_ADULT'!$A$1:$A$30),MATCH(I334,'2026_MAYO_BMT_ALLO_REL_ADULT'!$A$1:$D$1)),30)</f>
        <v>Days 11+/61+ paid at the per d</v>
      </c>
      <c r="O334" s="16">
        <v>7263.18</v>
      </c>
      <c r="P334" s="509">
        <f>O334*$Q$2</f>
        <v>8014.1928120000002</v>
      </c>
      <c r="Q334" s="14" t="s">
        <v>352</v>
      </c>
    </row>
    <row r="335" spans="1:17">
      <c r="A335" s="1" t="e">
        <f ca="1">'2026_MAYO_HAPLOID_BMT_ADULT'!$A$1</f>
        <v>#VALUE!</v>
      </c>
      <c r="B335" s="14" t="e">
        <f t="shared" ca="1" si="64"/>
        <v>#VALUE!</v>
      </c>
      <c r="C335" s="1" t="s">
        <v>370</v>
      </c>
      <c r="D335" s="4" t="e" cm="1">
        <f t="array" aca="1" ref="D335" ca="1">RIGHT(INDIRECT(ADDRESS(6,2,,,$A335)),6)</f>
        <v>#VALUE!</v>
      </c>
      <c r="E335" s="1" t="e" cm="1">
        <f t="array" aca="1" ref="E335" ca="1">RIGHT(INDIRECT(ADDRESS(4,2,,,$A335)),5)</f>
        <v>#VALUE!</v>
      </c>
      <c r="F335" s="22">
        <v>1.0335000000000001</v>
      </c>
      <c r="G335" s="22">
        <f t="shared" si="76"/>
        <v>1.0325</v>
      </c>
      <c r="H335" s="7">
        <v>1</v>
      </c>
      <c r="I335" s="7">
        <v>3</v>
      </c>
      <c r="J335" s="26">
        <v>4</v>
      </c>
      <c r="K335" s="26"/>
      <c r="L335" s="26" t="s">
        <v>350</v>
      </c>
      <c r="M335" s="26" t="s">
        <v>351</v>
      </c>
      <c r="N335" s="9" t="str">
        <f>LEFT(INDEX('2026_MAYO_HAPLOID_BMT_ADULT'!$A$1:$E$30,MATCH($H335,'2026_MAYO_HAPLOID_BMT_ADULT'!$A$1:$A$30),MATCH(I335,'2026_MAYO_HAPLOID_BMT_ADULT'!$A$1:$D$1)),30)</f>
        <v>OUTPATIENT EVALUATION* - Initi</v>
      </c>
      <c r="O335" s="16">
        <v>6443</v>
      </c>
      <c r="P335" s="507">
        <f t="shared" ref="P335:P340" si="80">ROUND(O335*$G$2,0)</f>
        <v>6652</v>
      </c>
    </row>
    <row r="336" spans="1:17">
      <c r="A336" s="1" t="e">
        <f ca="1">'2026_MAYO_HAPLOID_BMT_ADULT'!$A$1</f>
        <v>#VALUE!</v>
      </c>
      <c r="B336" s="14" t="e">
        <f t="shared" ca="1" si="64"/>
        <v>#VALUE!</v>
      </c>
      <c r="C336" s="1" t="s">
        <v>370</v>
      </c>
      <c r="D336" s="4" t="e" cm="1">
        <f t="array" aca="1" ref="D336" ca="1">RIGHT(INDIRECT(ADDRESS(6,2,,,$A336)),6)</f>
        <v>#VALUE!</v>
      </c>
      <c r="E336" s="1" t="e" cm="1">
        <f t="array" aca="1" ref="E336" ca="1">RIGHT(INDIRECT(ADDRESS(4,2,,,$A336)),5)</f>
        <v>#VALUE!</v>
      </c>
      <c r="F336" s="22">
        <v>1.0335000000000001</v>
      </c>
      <c r="G336" s="22">
        <f t="shared" si="76"/>
        <v>1.0325</v>
      </c>
      <c r="H336" s="7">
        <v>2</v>
      </c>
      <c r="I336" s="7">
        <v>3</v>
      </c>
      <c r="J336" s="26">
        <v>4</v>
      </c>
      <c r="K336" s="26"/>
      <c r="L336" s="26" t="s">
        <v>350</v>
      </c>
      <c r="M336" s="26" t="s">
        <v>351</v>
      </c>
      <c r="N336" s="9" t="str">
        <f>LEFT(INDEX('2026_MAYO_HAPLOID_BMT_ADULT'!$A$1:$E$30,MATCH($H336,'2026_MAYO_HAPLOID_BMT_ADULT'!$A$1:$A$30),MATCH(I336,'2026_MAYO_HAPLOID_BMT_ADULT'!$A$1:$D$1)),30)</f>
        <v>DONOR SEARCH*</v>
      </c>
      <c r="O336" s="16">
        <v>9937</v>
      </c>
      <c r="P336" s="507">
        <f t="shared" si="80"/>
        <v>10260</v>
      </c>
    </row>
    <row r="337" spans="1:17">
      <c r="A337" s="1" t="e">
        <f ca="1">'2026_MAYO_HAPLOID_BMT_ADULT'!$A$1</f>
        <v>#VALUE!</v>
      </c>
      <c r="B337" s="14" t="e">
        <f t="shared" ca="1" si="64"/>
        <v>#VALUE!</v>
      </c>
      <c r="C337" s="1" t="s">
        <v>370</v>
      </c>
      <c r="D337" s="4" t="e" cm="1">
        <f t="array" aca="1" ref="D337" ca="1">RIGHT(INDIRECT(ADDRESS(6,2,,,$A337)),6)</f>
        <v>#VALUE!</v>
      </c>
      <c r="E337" s="1" t="e" cm="1">
        <f t="array" aca="1" ref="E337" ca="1">RIGHT(INDIRECT(ADDRESS(4,2,,,$A337)),5)</f>
        <v>#VALUE!</v>
      </c>
      <c r="F337" s="22">
        <v>1.0335000000000001</v>
      </c>
      <c r="G337" s="22">
        <f t="shared" si="76"/>
        <v>1.0325</v>
      </c>
      <c r="H337" s="7">
        <v>3</v>
      </c>
      <c r="I337" s="7">
        <v>3</v>
      </c>
      <c r="J337" s="26">
        <v>4</v>
      </c>
      <c r="K337" s="26"/>
      <c r="L337" s="26" t="s">
        <v>350</v>
      </c>
      <c r="M337" s="26" t="s">
        <v>351</v>
      </c>
      <c r="N337" s="9" t="str">
        <f>LEFT(INDEX('2026_MAYO_HAPLOID_BMT_ADULT'!$A$1:$E$30,MATCH($H337,'2026_MAYO_HAPLOID_BMT_ADULT'!$A$1:$A$30),MATCH(I337,'2026_MAYO_HAPLOID_BMT_ADULT'!$A$1:$D$1)),30)</f>
        <v>DONOR HARVEST (INCLUDES STEM C</v>
      </c>
      <c r="O337" s="16">
        <v>16917</v>
      </c>
      <c r="P337" s="507">
        <f t="shared" si="80"/>
        <v>17467</v>
      </c>
    </row>
    <row r="338" spans="1:17">
      <c r="A338" s="1" t="e">
        <f ca="1">'2026_MAYO_HAPLOID_BMT_ADULT'!$A$1</f>
        <v>#VALUE!</v>
      </c>
      <c r="B338" s="14" t="e">
        <f t="shared" ca="1" si="64"/>
        <v>#VALUE!</v>
      </c>
      <c r="C338" s="1" t="s">
        <v>370</v>
      </c>
      <c r="D338" s="4" t="e" cm="1">
        <f t="array" aca="1" ref="D338" ca="1">RIGHT(INDIRECT(ADDRESS(6,2,,,$A338)),6)</f>
        <v>#VALUE!</v>
      </c>
      <c r="E338" s="1" t="e" cm="1">
        <f t="array" aca="1" ref="E338" ca="1">RIGHT(INDIRECT(ADDRESS(4,2,,,$A338)),5)</f>
        <v>#VALUE!</v>
      </c>
      <c r="F338" s="22">
        <v>1.0335000000000001</v>
      </c>
      <c r="G338" s="22">
        <f t="shared" si="76"/>
        <v>1.0325</v>
      </c>
      <c r="H338" s="7">
        <v>4</v>
      </c>
      <c r="I338" s="7">
        <v>3</v>
      </c>
      <c r="J338" s="26">
        <v>4</v>
      </c>
      <c r="K338" s="26"/>
      <c r="L338" s="26" t="s">
        <v>350</v>
      </c>
      <c r="M338" s="26" t="s">
        <v>351</v>
      </c>
      <c r="N338" s="9" t="str">
        <f>LEFT(INDEX('2026_MAYO_HAPLOID_BMT_ADULT'!$A$1:$E$30,MATCH($H338,'2026_MAYO_HAPLOID_BMT_ADULT'!$A$1:$A$30),MATCH(I338,'2026_MAYO_HAPLOID_BMT_ADULT'!$A$1:$D$1)),30)</f>
        <v>PREP AND TRANSPLANT</v>
      </c>
      <c r="O338" s="16">
        <v>49677</v>
      </c>
      <c r="P338" s="507">
        <f t="shared" si="80"/>
        <v>51292</v>
      </c>
    </row>
    <row r="339" spans="1:17">
      <c r="A339" s="1" t="e">
        <f ca="1">'2026_MAYO_HAPLOID_BMT_ADULT'!$A$1</f>
        <v>#VALUE!</v>
      </c>
      <c r="B339" s="14" t="e">
        <f t="shared" ca="1" si="64"/>
        <v>#VALUE!</v>
      </c>
      <c r="C339" s="1" t="s">
        <v>370</v>
      </c>
      <c r="D339" s="4" t="e" cm="1">
        <f t="array" aca="1" ref="D339" ca="1">RIGHT(INDIRECT(ADDRESS(6,2,,,$A339)),6)</f>
        <v>#VALUE!</v>
      </c>
      <c r="E339" s="1" t="e" cm="1">
        <f t="array" aca="1" ref="E339" ca="1">RIGHT(INDIRECT(ADDRESS(4,2,,,$A339)),5)</f>
        <v>#VALUE!</v>
      </c>
      <c r="F339" s="22">
        <v>1.0335000000000001</v>
      </c>
      <c r="G339" s="22">
        <f t="shared" si="76"/>
        <v>1.0325</v>
      </c>
      <c r="H339" s="7">
        <v>5</v>
      </c>
      <c r="I339" s="7">
        <v>3</v>
      </c>
      <c r="J339" s="26">
        <v>4</v>
      </c>
      <c r="K339" s="26"/>
      <c r="L339" s="26" t="s">
        <v>350</v>
      </c>
      <c r="M339" s="26" t="s">
        <v>351</v>
      </c>
      <c r="N339" s="9" t="str">
        <f>LEFT(INDEX('2026_MAYO_HAPLOID_BMT_ADULT'!$A$1:$E$30,MATCH($H339,'2026_MAYO_HAPLOID_BMT_ADULT'!$A$1:$A$30),MATCH(I339,'2026_MAYO_HAPLOID_BMT_ADULT'!$A$1:$D$1)),30)</f>
        <v>FOLLOW UP CARE - From day 1 po</v>
      </c>
      <c r="O339" s="16">
        <v>110947</v>
      </c>
      <c r="P339" s="507">
        <f t="shared" si="80"/>
        <v>114553</v>
      </c>
    </row>
    <row r="340" spans="1:17">
      <c r="A340" s="1" t="e">
        <f ca="1">'2026_MAYO_HAPLOID_BMT_ADULT'!$A$1</f>
        <v>#VALUE!</v>
      </c>
      <c r="B340" s="14" t="e">
        <f t="shared" ca="1" si="64"/>
        <v>#VALUE!</v>
      </c>
      <c r="C340" s="1" t="s">
        <v>370</v>
      </c>
      <c r="D340" s="4" t="e" cm="1">
        <f t="array" aca="1" ref="D340" ca="1">RIGHT(INDIRECT(ADDRESS(6,2,,,$A340)),6)</f>
        <v>#VALUE!</v>
      </c>
      <c r="E340" s="1" t="e" cm="1">
        <f t="array" aca="1" ref="E340" ca="1">RIGHT(INDIRECT(ADDRESS(4,2,,,$A340)),5)</f>
        <v>#VALUE!</v>
      </c>
      <c r="F340" s="22">
        <v>1.0335000000000001</v>
      </c>
      <c r="G340" s="22">
        <f t="shared" si="76"/>
        <v>1.0325</v>
      </c>
      <c r="H340" s="7">
        <v>6</v>
      </c>
      <c r="I340" s="7">
        <v>3</v>
      </c>
      <c r="J340" s="26">
        <v>4</v>
      </c>
      <c r="K340" s="26"/>
      <c r="L340" s="26" t="s">
        <v>350</v>
      </c>
      <c r="M340" s="26" t="s">
        <v>351</v>
      </c>
      <c r="N340" s="9" t="str">
        <f>LEFT(INDEX('2026_MAYO_HAPLOID_BMT_ADULT'!$A$1:$E$30,MATCH($H340,'2026_MAYO_HAPLOID_BMT_ADULT'!$A$1:$A$30),MATCH(I340,'2026_MAYO_HAPLOID_BMT_ADULT'!$A$1:$D$1)),30)</f>
        <v xml:space="preserve">FOLLOW UP CARE - From day 31  </v>
      </c>
      <c r="O340" s="16">
        <v>33120</v>
      </c>
      <c r="P340" s="507">
        <f t="shared" si="80"/>
        <v>34196</v>
      </c>
    </row>
    <row r="341" spans="1:17">
      <c r="A341" s="1" t="e">
        <f ca="1">'2026_MAYO_HAPLOID_BMT_ADULT'!$A$1</f>
        <v>#VALUE!</v>
      </c>
      <c r="B341" s="14" t="e">
        <f t="shared" ca="1" si="64"/>
        <v>#VALUE!</v>
      </c>
      <c r="C341" s="1" t="s">
        <v>370</v>
      </c>
      <c r="D341" s="4" t="e" cm="1">
        <f t="array" aca="1" ref="D341" ca="1">RIGHT(INDIRECT(ADDRESS(6,2,,,$A341)),6)</f>
        <v>#VALUE!</v>
      </c>
      <c r="E341" s="1" t="e" cm="1">
        <f t="array" aca="1" ref="E341" ca="1">RIGHT(INDIRECT(ADDRESS(4,2,,,$A341)),5)</f>
        <v>#VALUE!</v>
      </c>
      <c r="F341" s="22">
        <v>1.0335000000000001</v>
      </c>
      <c r="G341" s="22">
        <f t="shared" si="76"/>
        <v>1.0325</v>
      </c>
      <c r="H341" s="7">
        <v>7</v>
      </c>
      <c r="I341" s="7">
        <v>3</v>
      </c>
      <c r="J341" s="26">
        <v>4</v>
      </c>
      <c r="K341" s="26"/>
      <c r="L341" s="26" t="s">
        <v>350</v>
      </c>
      <c r="M341" s="26" t="s">
        <v>351</v>
      </c>
      <c r="N341" s="9" t="str">
        <f>LEFT(INDEX('2026_MAYO_HAPLOID_BMT_ADULT'!$A$1:$E$30,MATCH($H341,'2026_MAYO_HAPLOID_BMT_ADULT'!$A$1:$A$30),MATCH(I341,'2026_MAYO_HAPLOID_BMT_ADULT'!$A$1:$D$1)),30)</f>
        <v>OUTPATIENT FOLLOW UP CARE - Fr</v>
      </c>
      <c r="O341" s="16" t="s">
        <v>371</v>
      </c>
      <c r="P341" s="507" t="str">
        <f t="shared" ref="P341" si="81">O341</f>
        <v>Fee For Service rates</v>
      </c>
      <c r="Q341" s="14" t="s">
        <v>354</v>
      </c>
    </row>
    <row r="342" spans="1:17">
      <c r="A342" s="1" t="e">
        <f ca="1">'2026_MAYO_HAPLOID_BMT_ADULT'!$A$1</f>
        <v>#VALUE!</v>
      </c>
      <c r="B342" s="14" t="e">
        <f t="shared" ca="1" si="64"/>
        <v>#VALUE!</v>
      </c>
      <c r="C342" s="1" t="s">
        <v>370</v>
      </c>
      <c r="D342" s="4" t="e" cm="1">
        <f t="array" aca="1" ref="D342" ca="1">RIGHT(INDIRECT(ADDRESS(6,2,,,$A342)),6)</f>
        <v>#VALUE!</v>
      </c>
      <c r="E342" s="1" t="e" cm="1">
        <f t="array" aca="1" ref="E342" ca="1">RIGHT(INDIRECT(ADDRESS(4,2,,,$A342)),5)</f>
        <v>#VALUE!</v>
      </c>
      <c r="F342" s="22">
        <v>1.0335000000000001</v>
      </c>
      <c r="G342" s="22">
        <f t="shared" si="76"/>
        <v>1.0325</v>
      </c>
      <c r="H342" s="7">
        <v>8</v>
      </c>
      <c r="I342" s="7">
        <v>3</v>
      </c>
      <c r="J342" s="26">
        <v>4</v>
      </c>
      <c r="K342" s="26"/>
      <c r="L342" s="26" t="s">
        <v>350</v>
      </c>
      <c r="M342" s="26" t="s">
        <v>351</v>
      </c>
      <c r="N342" s="9" t="str">
        <f>LEFT(INDEX('2026_MAYO_HAPLOID_BMT_ADULT'!$A$1:$E$30,MATCH($H342,'2026_MAYO_HAPLOID_BMT_ADULT'!$A$1:$A$30),MATCH(I342,'2026_MAYO_HAPLOID_BMT_ADULT'!$A$1:$D$1)),30)</f>
        <v xml:space="preserve">PER DIEM RATES for day 61+ of </v>
      </c>
      <c r="O342" s="16">
        <v>2474</v>
      </c>
      <c r="P342" s="507">
        <f t="shared" ref="P342" si="82">ROUND(O342*$G$2,0)</f>
        <v>2554</v>
      </c>
    </row>
    <row r="343" spans="1:17">
      <c r="A343" s="1" t="e">
        <f ca="1">'2026_MAYO_HAPLOID_BMT_ADULT'!$A$1</f>
        <v>#VALUE!</v>
      </c>
      <c r="B343" s="14" t="e">
        <f t="shared" ca="1" si="64"/>
        <v>#VALUE!</v>
      </c>
      <c r="C343" s="1" t="s">
        <v>370</v>
      </c>
      <c r="D343" s="4" t="e" cm="1">
        <f t="array" aca="1" ref="D343" ca="1">RIGHT(INDIRECT(ADDRESS(6,2,,,$A343)),6)</f>
        <v>#VALUE!</v>
      </c>
      <c r="E343" s="1" t="e" cm="1">
        <f t="array" aca="1" ref="E343" ca="1">RIGHT(INDIRECT(ADDRESS(4,2,,,$A343)),5)</f>
        <v>#VALUE!</v>
      </c>
      <c r="F343" s="22">
        <v>1.0335000000000001</v>
      </c>
      <c r="G343" s="22">
        <f t="shared" si="76"/>
        <v>1.0325</v>
      </c>
      <c r="H343" s="7">
        <v>9</v>
      </c>
      <c r="I343" s="7">
        <v>3</v>
      </c>
      <c r="J343" s="26">
        <v>4</v>
      </c>
      <c r="K343" s="26"/>
      <c r="L343" s="26" t="s">
        <v>350</v>
      </c>
      <c r="M343" s="26" t="s">
        <v>351</v>
      </c>
      <c r="N343" s="9" t="str">
        <f>LEFT(INDEX('2026_MAYO_HAPLOID_BMT_ADULT'!$A$1:$E$30,MATCH($H343,'2026_MAYO_HAPLOID_BMT_ADULT'!$A$1:$A$30),MATCH(I343,'2026_MAYO_HAPLOID_BMT_ADULT'!$A$1:$D$1)),30)</f>
        <v>Days 11+/61+ paid at the per d</v>
      </c>
      <c r="O343" s="16">
        <v>7263.18</v>
      </c>
      <c r="P343" s="509">
        <f>O343*$Q$2</f>
        <v>8014.1928120000002</v>
      </c>
      <c r="Q343" s="14" t="s">
        <v>352</v>
      </c>
    </row>
    <row r="344" spans="1:17">
      <c r="A344" s="1" t="e">
        <f ca="1">'2026_MAYO_BMT_ALLO_UNR_ADUL'!$A$1</f>
        <v>#VALUE!</v>
      </c>
      <c r="B344" s="14" t="e">
        <f t="shared" ca="1" si="64"/>
        <v>#VALUE!</v>
      </c>
      <c r="C344" s="1" t="s">
        <v>370</v>
      </c>
      <c r="D344" s="4" t="e" cm="1">
        <f t="array" aca="1" ref="D344" ca="1">RIGHT(INDIRECT(ADDRESS(6,2,,,$A344)),6)</f>
        <v>#VALUE!</v>
      </c>
      <c r="E344" s="1" t="e" cm="1">
        <f t="array" aca="1" ref="E344" ca="1">RIGHT(INDIRECT(ADDRESS(4,2,,,$A344)),5)</f>
        <v>#VALUE!</v>
      </c>
      <c r="F344" s="22">
        <v>1.0335000000000001</v>
      </c>
      <c r="G344" s="22">
        <f t="shared" si="76"/>
        <v>1.0325</v>
      </c>
      <c r="H344" s="7">
        <v>1</v>
      </c>
      <c r="I344" s="7">
        <v>3</v>
      </c>
      <c r="J344" s="26">
        <v>4</v>
      </c>
      <c r="K344" s="26"/>
      <c r="L344" s="26" t="s">
        <v>350</v>
      </c>
      <c r="M344" s="26" t="s">
        <v>351</v>
      </c>
      <c r="N344" s="9" t="str">
        <f>LEFT(INDEX('2026_MAYO_BMT_ALLO_UNR_ADUL'!$A$1:$E$30,MATCH($H344,'2026_MAYO_BMT_ALLO_UNR_ADUL'!$A$1:$A$30),MATCH(I344,'2026_MAYO_BMT_ALLO_UNR_ADUL'!$A$1:$D$1)),30)</f>
        <v>OUTPATIENT EVALUATION* - Initi</v>
      </c>
      <c r="O344" s="16">
        <v>6583</v>
      </c>
      <c r="P344" s="507">
        <f t="shared" ref="P344:P345" si="83">ROUND(O344*$G$2,0)</f>
        <v>6797</v>
      </c>
    </row>
    <row r="345" spans="1:17">
      <c r="A345" s="1" t="e">
        <f ca="1">'2026_MAYO_BMT_ALLO_UNR_ADUL'!$A$1</f>
        <v>#VALUE!</v>
      </c>
      <c r="B345" s="14" t="e">
        <f t="shared" ca="1" si="64"/>
        <v>#VALUE!</v>
      </c>
      <c r="C345" s="1" t="s">
        <v>370</v>
      </c>
      <c r="D345" s="4" t="e" cm="1">
        <f t="array" aca="1" ref="D345" ca="1">RIGHT(INDIRECT(ADDRESS(6,2,,,$A345)),6)</f>
        <v>#VALUE!</v>
      </c>
      <c r="E345" s="1" t="e" cm="1">
        <f t="array" aca="1" ref="E345" ca="1">RIGHT(INDIRECT(ADDRESS(4,2,,,$A345)),5)</f>
        <v>#VALUE!</v>
      </c>
      <c r="F345" s="22">
        <v>1.0335000000000001</v>
      </c>
      <c r="G345" s="22">
        <f t="shared" si="76"/>
        <v>1.0325</v>
      </c>
      <c r="H345" s="7">
        <v>2</v>
      </c>
      <c r="I345" s="7">
        <v>3</v>
      </c>
      <c r="J345" s="26">
        <v>4</v>
      </c>
      <c r="K345" s="26"/>
      <c r="L345" s="26" t="s">
        <v>350</v>
      </c>
      <c r="M345" s="26" t="s">
        <v>351</v>
      </c>
      <c r="N345" s="9" t="str">
        <f>LEFT(INDEX('2026_MAYO_BMT_ALLO_UNR_ADUL'!$A$1:$E$30,MATCH($H345,'2026_MAYO_BMT_ALLO_UNR_ADUL'!$A$1:$A$30),MATCH(I345,'2026_MAYO_BMT_ALLO_UNR_ADUL'!$A$1:$D$1)),30)</f>
        <v>UNRELATED DONOR SEARCH</v>
      </c>
      <c r="O345" s="16">
        <v>10155</v>
      </c>
      <c r="P345" s="507">
        <f t="shared" si="83"/>
        <v>10485</v>
      </c>
    </row>
    <row r="346" spans="1:17">
      <c r="A346" s="1" t="e">
        <f ca="1">'2026_MAYO_BMT_ALLO_UNR_ADUL'!$A$1</f>
        <v>#VALUE!</v>
      </c>
      <c r="B346" s="14" t="e">
        <f t="shared" ca="1" si="64"/>
        <v>#VALUE!</v>
      </c>
      <c r="C346" s="1" t="s">
        <v>370</v>
      </c>
      <c r="D346" s="4" t="e" cm="1">
        <f t="array" aca="1" ref="D346" ca="1">RIGHT(INDIRECT(ADDRESS(6,2,,,$A346)),6)</f>
        <v>#VALUE!</v>
      </c>
      <c r="E346" s="1" t="e" cm="1">
        <f t="array" aca="1" ref="E346" ca="1">RIGHT(INDIRECT(ADDRESS(4,2,,,$A346)),5)</f>
        <v>#VALUE!</v>
      </c>
      <c r="F346" s="22">
        <v>1.0335000000000001</v>
      </c>
      <c r="G346" s="22">
        <f t="shared" si="76"/>
        <v>1.0325</v>
      </c>
      <c r="H346" s="7">
        <v>3</v>
      </c>
      <c r="I346" s="7">
        <v>3</v>
      </c>
      <c r="J346" s="26">
        <v>4</v>
      </c>
      <c r="K346" s="26"/>
      <c r="L346" s="26" t="s">
        <v>350</v>
      </c>
      <c r="M346" s="26" t="s">
        <v>351</v>
      </c>
      <c r="N346" s="9" t="str">
        <f>LEFT(INDEX('2026_MAYO_BMT_ALLO_UNR_ADUL'!$A$1:$E$30,MATCH($H346,'2026_MAYO_BMT_ALLO_UNR_ADUL'!$A$1:$A$30),MATCH(I346,'2026_MAYO_BMT_ALLO_UNR_ADUL'!$A$1:$D$1)),30)</f>
        <v>DONOR HARVEST (INCLUDES STEM C</v>
      </c>
      <c r="O346" s="16" t="s">
        <v>355</v>
      </c>
      <c r="P346" s="507" t="str">
        <f t="shared" ref="P346" si="84">O346</f>
        <v>NBMD or Cord blood Invoice Cost</v>
      </c>
      <c r="Q346" s="14" t="s">
        <v>354</v>
      </c>
    </row>
    <row r="347" spans="1:17">
      <c r="A347" s="1" t="e">
        <f ca="1">'2026_MAYO_BMT_ALLO_UNR_ADUL'!$A$1</f>
        <v>#VALUE!</v>
      </c>
      <c r="B347" s="14" t="e">
        <f t="shared" ca="1" si="64"/>
        <v>#VALUE!</v>
      </c>
      <c r="C347" s="1" t="s">
        <v>370</v>
      </c>
      <c r="D347" s="4" t="e" cm="1">
        <f t="array" aca="1" ref="D347" ca="1">RIGHT(INDIRECT(ADDRESS(6,2,,,$A347)),6)</f>
        <v>#VALUE!</v>
      </c>
      <c r="E347" s="1" t="e" cm="1">
        <f t="array" aca="1" ref="E347" ca="1">RIGHT(INDIRECT(ADDRESS(4,2,,,$A347)),5)</f>
        <v>#VALUE!</v>
      </c>
      <c r="F347" s="22">
        <v>1.0335000000000001</v>
      </c>
      <c r="G347" s="22">
        <f t="shared" si="76"/>
        <v>1.0325</v>
      </c>
      <c r="H347" s="7">
        <v>4</v>
      </c>
      <c r="I347" s="7">
        <v>3</v>
      </c>
      <c r="J347" s="26">
        <v>4</v>
      </c>
      <c r="K347" s="26"/>
      <c r="L347" s="26" t="s">
        <v>350</v>
      </c>
      <c r="M347" s="26" t="s">
        <v>351</v>
      </c>
      <c r="N347" s="9" t="str">
        <f>LEFT(INDEX('2026_MAYO_BMT_ALLO_UNR_ADUL'!$A$1:$E$30,MATCH($H347,'2026_MAYO_BMT_ALLO_UNR_ADUL'!$A$1:$A$30),MATCH(I347,'2026_MAYO_BMT_ALLO_UNR_ADUL'!$A$1:$D$1)),30)</f>
        <v>PREP AND TRANSPLANT</v>
      </c>
      <c r="O347" s="16">
        <v>50771</v>
      </c>
      <c r="P347" s="507">
        <f t="shared" ref="P347:P349" si="85">ROUND(O347*$G$2,0)</f>
        <v>52421</v>
      </c>
    </row>
    <row r="348" spans="1:17">
      <c r="A348" s="1" t="e">
        <f ca="1">'2026_MAYO_BMT_ALLO_UNR_ADUL'!$A$1</f>
        <v>#VALUE!</v>
      </c>
      <c r="B348" s="14" t="e">
        <f t="shared" ca="1" si="64"/>
        <v>#VALUE!</v>
      </c>
      <c r="C348" s="1" t="s">
        <v>370</v>
      </c>
      <c r="D348" s="4" t="e" cm="1">
        <f t="array" aca="1" ref="D348" ca="1">RIGHT(INDIRECT(ADDRESS(6,2,,,$A348)),6)</f>
        <v>#VALUE!</v>
      </c>
      <c r="E348" s="1" t="e" cm="1">
        <f t="array" aca="1" ref="E348" ca="1">RIGHT(INDIRECT(ADDRESS(4,2,,,$A348)),5)</f>
        <v>#VALUE!</v>
      </c>
      <c r="F348" s="22">
        <v>1.0335000000000001</v>
      </c>
      <c r="G348" s="22">
        <f t="shared" si="76"/>
        <v>1.0325</v>
      </c>
      <c r="H348" s="7">
        <v>5</v>
      </c>
      <c r="I348" s="7">
        <v>3</v>
      </c>
      <c r="J348" s="26">
        <v>4</v>
      </c>
      <c r="K348" s="26"/>
      <c r="L348" s="26" t="s">
        <v>350</v>
      </c>
      <c r="M348" s="26" t="s">
        <v>351</v>
      </c>
      <c r="N348" s="9" t="str">
        <f>LEFT(INDEX('2026_MAYO_BMT_ALLO_UNR_ADUL'!$A$1:$E$30,MATCH($H348,'2026_MAYO_BMT_ALLO_UNR_ADUL'!$A$1:$A$30),MATCH(I348,'2026_MAYO_BMT_ALLO_UNR_ADUL'!$A$1:$D$1)),30)</f>
        <v>FOLLOW UP CARE - From day 1 po</v>
      </c>
      <c r="O348" s="16">
        <v>113390</v>
      </c>
      <c r="P348" s="507">
        <f t="shared" si="85"/>
        <v>117075</v>
      </c>
    </row>
    <row r="349" spans="1:17">
      <c r="A349" s="1" t="e">
        <f ca="1">'2026_MAYO_BMT_ALLO_UNR_ADUL'!$A$1</f>
        <v>#VALUE!</v>
      </c>
      <c r="B349" s="14" t="e">
        <f t="shared" ca="1" si="64"/>
        <v>#VALUE!</v>
      </c>
      <c r="C349" s="1" t="s">
        <v>370</v>
      </c>
      <c r="D349" s="4" t="e" cm="1">
        <f t="array" aca="1" ref="D349" ca="1">RIGHT(INDIRECT(ADDRESS(6,2,,,$A349)),6)</f>
        <v>#VALUE!</v>
      </c>
      <c r="E349" s="1" t="e" cm="1">
        <f t="array" aca="1" ref="E349" ca="1">RIGHT(INDIRECT(ADDRESS(4,2,,,$A349)),5)</f>
        <v>#VALUE!</v>
      </c>
      <c r="F349" s="22">
        <v>1.0335000000000001</v>
      </c>
      <c r="G349" s="22">
        <f t="shared" si="76"/>
        <v>1.0325</v>
      </c>
      <c r="H349" s="7">
        <v>6</v>
      </c>
      <c r="I349" s="7">
        <v>3</v>
      </c>
      <c r="J349" s="26">
        <v>4</v>
      </c>
      <c r="K349" s="26"/>
      <c r="L349" s="26" t="s">
        <v>350</v>
      </c>
      <c r="M349" s="26" t="s">
        <v>351</v>
      </c>
      <c r="N349" s="9" t="str">
        <f>LEFT(INDEX('2026_MAYO_BMT_ALLO_UNR_ADUL'!$A$1:$E$30,MATCH($H349,'2026_MAYO_BMT_ALLO_UNR_ADUL'!$A$1:$A$30),MATCH(I349,'2026_MAYO_BMT_ALLO_UNR_ADUL'!$A$1:$D$1)),30)</f>
        <v xml:space="preserve">FOLLOW UP CARE - From day 31  </v>
      </c>
      <c r="O349" s="16">
        <v>33848</v>
      </c>
      <c r="P349" s="507">
        <f t="shared" si="85"/>
        <v>34948</v>
      </c>
    </row>
    <row r="350" spans="1:17">
      <c r="A350" s="1" t="e">
        <f ca="1">'2026_MAYO_BMT_ALLO_UNR_ADUL'!$A$1</f>
        <v>#VALUE!</v>
      </c>
      <c r="B350" s="14" t="e">
        <f t="shared" ca="1" si="64"/>
        <v>#VALUE!</v>
      </c>
      <c r="C350" s="1" t="s">
        <v>370</v>
      </c>
      <c r="D350" s="4" t="e" cm="1">
        <f t="array" aca="1" ref="D350" ca="1">RIGHT(INDIRECT(ADDRESS(6,2,,,$A350)),6)</f>
        <v>#VALUE!</v>
      </c>
      <c r="E350" s="1" t="e" cm="1">
        <f t="array" aca="1" ref="E350" ca="1">RIGHT(INDIRECT(ADDRESS(4,2,,,$A350)),5)</f>
        <v>#VALUE!</v>
      </c>
      <c r="F350" s="22">
        <v>1.0335000000000001</v>
      </c>
      <c r="G350" s="22">
        <f t="shared" si="76"/>
        <v>1.0325</v>
      </c>
      <c r="H350" s="7">
        <v>7</v>
      </c>
      <c r="I350" s="7">
        <v>3</v>
      </c>
      <c r="J350" s="26">
        <v>4</v>
      </c>
      <c r="K350" s="26"/>
      <c r="L350" s="26" t="s">
        <v>350</v>
      </c>
      <c r="M350" s="26" t="s">
        <v>351</v>
      </c>
      <c r="N350" s="9" t="str">
        <f>LEFT(INDEX('2026_MAYO_BMT_ALLO_UNR_ADUL'!$A$1:$E$30,MATCH($H350,'2026_MAYO_BMT_ALLO_UNR_ADUL'!$A$1:$A$30),MATCH(I350,'2026_MAYO_BMT_ALLO_UNR_ADUL'!$A$1:$D$1)),30)</f>
        <v>OUTPATIENT FOLLOW UP CARE - Fr</v>
      </c>
      <c r="O350" s="16" t="s">
        <v>371</v>
      </c>
      <c r="P350" s="507" t="str">
        <f t="shared" ref="P350" si="86">O350</f>
        <v>Fee For Service rates</v>
      </c>
      <c r="Q350" s="14" t="s">
        <v>354</v>
      </c>
    </row>
    <row r="351" spans="1:17">
      <c r="A351" s="1" t="e">
        <f ca="1">'2026_MAYO_BMT_ALLO_UNR_ADUL'!$A$1</f>
        <v>#VALUE!</v>
      </c>
      <c r="B351" s="14" t="e">
        <f t="shared" ca="1" si="64"/>
        <v>#VALUE!</v>
      </c>
      <c r="C351" s="1" t="s">
        <v>370</v>
      </c>
      <c r="D351" s="4" t="e" cm="1">
        <f t="array" aca="1" ref="D351" ca="1">RIGHT(INDIRECT(ADDRESS(6,2,,,$A351)),6)</f>
        <v>#VALUE!</v>
      </c>
      <c r="E351" s="1" t="e" cm="1">
        <f t="array" aca="1" ref="E351" ca="1">RIGHT(INDIRECT(ADDRESS(4,2,,,$A351)),5)</f>
        <v>#VALUE!</v>
      </c>
      <c r="F351" s="22">
        <v>1.0335000000000001</v>
      </c>
      <c r="G351" s="22">
        <f t="shared" si="76"/>
        <v>1.0325</v>
      </c>
      <c r="H351" s="7">
        <v>8</v>
      </c>
      <c r="I351" s="7">
        <v>3</v>
      </c>
      <c r="J351" s="26">
        <v>4</v>
      </c>
      <c r="K351" s="26"/>
      <c r="L351" s="26" t="s">
        <v>350</v>
      </c>
      <c r="M351" s="26" t="s">
        <v>351</v>
      </c>
      <c r="N351" s="9" t="str">
        <f>LEFT(INDEX('2026_MAYO_BMT_ALLO_UNR_ADUL'!$A$1:$E$30,MATCH($H351,'2026_MAYO_BMT_ALLO_UNR_ADUL'!$A$1:$A$30),MATCH(I351,'2026_MAYO_BMT_ALLO_UNR_ADUL'!$A$1:$D$1)),30)</f>
        <v xml:space="preserve">PER DIEM RATES for day 61+ of </v>
      </c>
      <c r="O351" s="16">
        <v>2474</v>
      </c>
      <c r="P351" s="507">
        <f t="shared" ref="P351" si="87">ROUND(O351*$G$2,0)</f>
        <v>2554</v>
      </c>
    </row>
    <row r="352" spans="1:17">
      <c r="A352" s="1" t="e">
        <f ca="1">'2026_MAYO_BMT_ALLO_UNR_ADUL'!$A$1</f>
        <v>#VALUE!</v>
      </c>
      <c r="B352" s="14" t="e">
        <f t="shared" ca="1" si="64"/>
        <v>#VALUE!</v>
      </c>
      <c r="C352" s="1" t="s">
        <v>370</v>
      </c>
      <c r="D352" s="4" t="e" cm="1">
        <f t="array" aca="1" ref="D352" ca="1">RIGHT(INDIRECT(ADDRESS(6,2,,,$A352)),6)</f>
        <v>#VALUE!</v>
      </c>
      <c r="E352" s="1" t="e" cm="1">
        <f t="array" aca="1" ref="E352" ca="1">RIGHT(INDIRECT(ADDRESS(4,2,,,$A352)),5)</f>
        <v>#VALUE!</v>
      </c>
      <c r="F352" s="22">
        <v>1.0335000000000001</v>
      </c>
      <c r="G352" s="22">
        <f t="shared" si="76"/>
        <v>1.0325</v>
      </c>
      <c r="H352" s="7">
        <v>9</v>
      </c>
      <c r="I352" s="7">
        <v>3</v>
      </c>
      <c r="J352" s="26">
        <v>4</v>
      </c>
      <c r="K352" s="26"/>
      <c r="L352" s="26" t="s">
        <v>350</v>
      </c>
      <c r="M352" s="26" t="s">
        <v>351</v>
      </c>
      <c r="N352" s="9" t="str">
        <f>LEFT(INDEX('2026_MAYO_BMT_ALLO_UNR_ADUL'!$A$1:$E$30,MATCH($H352,'2026_MAYO_BMT_ALLO_UNR_ADUL'!$A$1:$A$30),MATCH(I352,'2026_MAYO_BMT_ALLO_UNR_ADUL'!$A$1:$D$1)),30)</f>
        <v>Days 11+/61+ paid at the per d</v>
      </c>
      <c r="O352" s="16">
        <v>7263.18</v>
      </c>
      <c r="P352" s="509">
        <f>O352*$Q$2</f>
        <v>8014.1928120000002</v>
      </c>
      <c r="Q352" s="14" t="s">
        <v>352</v>
      </c>
    </row>
    <row r="353" spans="1:17">
      <c r="A353" s="1" t="e">
        <f ca="1">'2026_MAYO_BMT_AUT_PED'!$A$1</f>
        <v>#VALUE!</v>
      </c>
      <c r="B353" s="14" t="e">
        <f t="shared" ref="B353:B416" ca="1" si="88">IF(A353=A352,0,1)</f>
        <v>#VALUE!</v>
      </c>
      <c r="C353" s="1" t="s">
        <v>370</v>
      </c>
      <c r="D353" s="4" t="e" cm="1">
        <f t="array" aca="1" ref="D353" ca="1">RIGHT(INDIRECT(ADDRESS(6,2,,,$A353)),6)</f>
        <v>#VALUE!</v>
      </c>
      <c r="E353" s="1" t="e" cm="1">
        <f t="array" aca="1" ref="E353" ca="1">RIGHT(INDIRECT(ADDRESS(4,2,,,$A353)),5)</f>
        <v>#VALUE!</v>
      </c>
      <c r="F353" s="22">
        <v>1.0335000000000001</v>
      </c>
      <c r="G353" s="22">
        <f t="shared" si="76"/>
        <v>1.0325</v>
      </c>
      <c r="H353" s="7">
        <v>1</v>
      </c>
      <c r="I353" s="7">
        <v>3</v>
      </c>
      <c r="J353" s="26">
        <v>4</v>
      </c>
      <c r="K353" s="26"/>
      <c r="L353" s="26" t="s">
        <v>350</v>
      </c>
      <c r="M353" s="26" t="s">
        <v>351</v>
      </c>
      <c r="N353" s="9" t="str">
        <f>LEFT(INDEX('2026_MAYO_BMT_AUT_PED'!$A$1:$E$30,MATCH($H353,'2026_MAYO_BMT_AUT_PED'!$A$1:$A$30),MATCH(I353,'2026_MAYO_BMT_AUT_PED'!$A$1:$D$1)),30)</f>
        <v>OUTPATIENT EVALUATION* - Initi</v>
      </c>
      <c r="O353" s="16">
        <v>6304</v>
      </c>
      <c r="P353" s="507">
        <f t="shared" ref="P353:P357" si="89">ROUND(O353*$G$2,0)</f>
        <v>6509</v>
      </c>
    </row>
    <row r="354" spans="1:17">
      <c r="A354" s="1" t="e">
        <f ca="1">'2026_MAYO_BMT_AUT_PED'!$A$1</f>
        <v>#VALUE!</v>
      </c>
      <c r="B354" s="14" t="e">
        <f t="shared" ca="1" si="88"/>
        <v>#VALUE!</v>
      </c>
      <c r="C354" s="1" t="s">
        <v>370</v>
      </c>
      <c r="D354" s="4" t="e" cm="1">
        <f t="array" aca="1" ref="D354" ca="1">RIGHT(INDIRECT(ADDRESS(6,2,,,$A354)),6)</f>
        <v>#VALUE!</v>
      </c>
      <c r="E354" s="1" t="e" cm="1">
        <f t="array" aca="1" ref="E354" ca="1">RIGHT(INDIRECT(ADDRESS(4,2,,,$A354)),5)</f>
        <v>#VALUE!</v>
      </c>
      <c r="F354" s="22">
        <v>1.0335000000000001</v>
      </c>
      <c r="G354" s="22">
        <f t="shared" si="76"/>
        <v>1.0325</v>
      </c>
      <c r="H354" s="7">
        <v>2</v>
      </c>
      <c r="I354" s="7">
        <v>3</v>
      </c>
      <c r="J354" s="26">
        <v>4</v>
      </c>
      <c r="K354" s="26"/>
      <c r="L354" s="26" t="s">
        <v>350</v>
      </c>
      <c r="M354" s="26" t="s">
        <v>351</v>
      </c>
      <c r="N354" s="9" t="str">
        <f>LEFT(INDEX('2026_MAYO_BMT_AUT_PED'!$A$1:$E$30,MATCH($H354,'2026_MAYO_BMT_AUT_PED'!$A$1:$A$30),MATCH(I354,'2026_MAYO_BMT_AUT_PED'!$A$1:$D$1)),30)</f>
        <v>AUTOLOGOUS HARVEST</v>
      </c>
      <c r="O354" s="16">
        <v>15999</v>
      </c>
      <c r="P354" s="507">
        <f t="shared" si="89"/>
        <v>16519</v>
      </c>
    </row>
    <row r="355" spans="1:17">
      <c r="A355" s="1" t="e">
        <f ca="1">'2026_MAYO_BMT_AUT_PED'!$A$1</f>
        <v>#VALUE!</v>
      </c>
      <c r="B355" s="14" t="e">
        <f t="shared" ca="1" si="88"/>
        <v>#VALUE!</v>
      </c>
      <c r="C355" s="1" t="s">
        <v>370</v>
      </c>
      <c r="D355" s="4" t="e" cm="1">
        <f t="array" aca="1" ref="D355" ca="1">RIGHT(INDIRECT(ADDRESS(6,2,,,$A355)),6)</f>
        <v>#VALUE!</v>
      </c>
      <c r="E355" s="1" t="e" cm="1">
        <f t="array" aca="1" ref="E355" ca="1">RIGHT(INDIRECT(ADDRESS(4,2,,,$A355)),5)</f>
        <v>#VALUE!</v>
      </c>
      <c r="F355" s="22">
        <v>1.0335000000000001</v>
      </c>
      <c r="G355" s="22">
        <f t="shared" si="76"/>
        <v>1.0325</v>
      </c>
      <c r="H355" s="7">
        <v>3</v>
      </c>
      <c r="I355" s="7">
        <v>3</v>
      </c>
      <c r="J355" s="26">
        <v>4</v>
      </c>
      <c r="K355" s="26"/>
      <c r="L355" s="26" t="s">
        <v>350</v>
      </c>
      <c r="M355" s="26" t="s">
        <v>351</v>
      </c>
      <c r="N355" s="9" t="str">
        <f>LEFT(INDEX('2026_MAYO_BMT_AUT_PED'!$A$1:$E$30,MATCH($H355,'2026_MAYO_BMT_AUT_PED'!$A$1:$A$30),MATCH(I355,'2026_MAYO_BMT_AUT_PED'!$A$1:$D$1)),30)</f>
        <v>PREP AND TRANSPLANT</v>
      </c>
      <c r="O355" s="16">
        <v>117013</v>
      </c>
      <c r="P355" s="507">
        <f t="shared" si="89"/>
        <v>120816</v>
      </c>
    </row>
    <row r="356" spans="1:17">
      <c r="A356" s="1" t="e">
        <f ca="1">'2026_MAYO_BMT_AUT_PED'!$A$1</f>
        <v>#VALUE!</v>
      </c>
      <c r="B356" s="14" t="e">
        <f t="shared" ca="1" si="88"/>
        <v>#VALUE!</v>
      </c>
      <c r="C356" s="1" t="s">
        <v>370</v>
      </c>
      <c r="D356" s="4" t="e" cm="1">
        <f t="array" aca="1" ref="D356" ca="1">RIGHT(INDIRECT(ADDRESS(6,2,,,$A356)),6)</f>
        <v>#VALUE!</v>
      </c>
      <c r="E356" s="1" t="e" cm="1">
        <f t="array" aca="1" ref="E356" ca="1">RIGHT(INDIRECT(ADDRESS(4,2,,,$A356)),5)</f>
        <v>#VALUE!</v>
      </c>
      <c r="F356" s="22">
        <v>1.0335000000000001</v>
      </c>
      <c r="G356" s="22">
        <f t="shared" si="76"/>
        <v>1.0325</v>
      </c>
      <c r="H356" s="7">
        <v>4</v>
      </c>
      <c r="I356" s="7">
        <v>3</v>
      </c>
      <c r="J356" s="26">
        <v>4</v>
      </c>
      <c r="K356" s="26"/>
      <c r="L356" s="26" t="s">
        <v>350</v>
      </c>
      <c r="M356" s="26" t="s">
        <v>351</v>
      </c>
      <c r="N356" s="9" t="str">
        <f>LEFT(INDEX('2026_MAYO_BMT_AUT_PED'!$A$1:$E$30,MATCH($H356,'2026_MAYO_BMT_AUT_PED'!$A$1:$A$30),MATCH(I356,'2026_MAYO_BMT_AUT_PED'!$A$1:$D$1)),30)</f>
        <v>FOLLOW UP CARE - From day 1 po</v>
      </c>
      <c r="O356" s="16">
        <v>29644</v>
      </c>
      <c r="P356" s="507">
        <f t="shared" si="89"/>
        <v>30607</v>
      </c>
    </row>
    <row r="357" spans="1:17">
      <c r="A357" s="1" t="e">
        <f ca="1">'2026_MAYO_BMT_AUT_PED'!$A$1</f>
        <v>#VALUE!</v>
      </c>
      <c r="B357" s="14" t="e">
        <f t="shared" ca="1" si="88"/>
        <v>#VALUE!</v>
      </c>
      <c r="C357" s="1" t="s">
        <v>370</v>
      </c>
      <c r="D357" s="4" t="e" cm="1">
        <f t="array" aca="1" ref="D357" ca="1">RIGHT(INDIRECT(ADDRESS(6,2,,,$A357)),6)</f>
        <v>#VALUE!</v>
      </c>
      <c r="E357" s="1" t="e" cm="1">
        <f t="array" aca="1" ref="E357" ca="1">RIGHT(INDIRECT(ADDRESS(4,2,,,$A357)),5)</f>
        <v>#VALUE!</v>
      </c>
      <c r="F357" s="22">
        <v>1.0335000000000001</v>
      </c>
      <c r="G357" s="22">
        <f t="shared" si="76"/>
        <v>1.0325</v>
      </c>
      <c r="H357" s="7">
        <v>5</v>
      </c>
      <c r="I357" s="7">
        <v>3</v>
      </c>
      <c r="J357" s="26">
        <v>4</v>
      </c>
      <c r="K357" s="26"/>
      <c r="L357" s="26" t="s">
        <v>350</v>
      </c>
      <c r="M357" s="26" t="s">
        <v>351</v>
      </c>
      <c r="N357" s="9" t="str">
        <f>LEFT(INDEX('2026_MAYO_BMT_AUT_PED'!$A$1:$E$30,MATCH($H357,'2026_MAYO_BMT_AUT_PED'!$A$1:$A$30),MATCH(I357,'2026_MAYO_BMT_AUT_PED'!$A$1:$D$1)),30)</f>
        <v xml:space="preserve">FOLLOW UP CARE - From day 31  </v>
      </c>
      <c r="O357" s="16">
        <v>11472</v>
      </c>
      <c r="P357" s="507">
        <f t="shared" si="89"/>
        <v>11845</v>
      </c>
    </row>
    <row r="358" spans="1:17">
      <c r="A358" s="1" t="e">
        <f ca="1">'2026_MAYO_BMT_AUT_PED'!$A$1</f>
        <v>#VALUE!</v>
      </c>
      <c r="B358" s="14" t="e">
        <f t="shared" ca="1" si="88"/>
        <v>#VALUE!</v>
      </c>
      <c r="C358" s="1" t="s">
        <v>370</v>
      </c>
      <c r="D358" s="4" t="e" cm="1">
        <f t="array" aca="1" ref="D358" ca="1">RIGHT(INDIRECT(ADDRESS(6,2,,,$A358)),6)</f>
        <v>#VALUE!</v>
      </c>
      <c r="E358" s="1" t="e" cm="1">
        <f t="array" aca="1" ref="E358" ca="1">RIGHT(INDIRECT(ADDRESS(4,2,,,$A358)),5)</f>
        <v>#VALUE!</v>
      </c>
      <c r="F358" s="22">
        <v>1.0335000000000001</v>
      </c>
      <c r="G358" s="22">
        <f t="shared" si="76"/>
        <v>1.0325</v>
      </c>
      <c r="H358" s="7">
        <v>6</v>
      </c>
      <c r="I358" s="7">
        <v>3</v>
      </c>
      <c r="J358" s="26">
        <v>4</v>
      </c>
      <c r="K358" s="26"/>
      <c r="L358" s="26" t="s">
        <v>350</v>
      </c>
      <c r="M358" s="26" t="s">
        <v>351</v>
      </c>
      <c r="N358" s="9" t="str">
        <f>LEFT(INDEX('2026_MAYO_BMT_AUT_PED'!$A$1:$E$30,MATCH($H358,'2026_MAYO_BMT_AUT_PED'!$A$1:$A$30),MATCH(I358,'2026_MAYO_BMT_AUT_PED'!$A$1:$D$1)),30)</f>
        <v>OUTPATIENT FOLLOW UP CARE - Fr</v>
      </c>
      <c r="O358" s="16" t="s">
        <v>371</v>
      </c>
      <c r="P358" s="507" t="str">
        <f t="shared" ref="P358" si="90">O358</f>
        <v>Fee For Service rates</v>
      </c>
      <c r="Q358" s="14" t="s">
        <v>354</v>
      </c>
    </row>
    <row r="359" spans="1:17">
      <c r="A359" s="1" t="e">
        <f ca="1">'2026_MAYO_BMT_AUT_PED'!$A$1</f>
        <v>#VALUE!</v>
      </c>
      <c r="B359" s="14" t="e">
        <f t="shared" ca="1" si="88"/>
        <v>#VALUE!</v>
      </c>
      <c r="C359" s="1" t="s">
        <v>370</v>
      </c>
      <c r="D359" s="4" t="e" cm="1">
        <f t="array" aca="1" ref="D359" ca="1">RIGHT(INDIRECT(ADDRESS(6,2,,,$A359)),6)</f>
        <v>#VALUE!</v>
      </c>
      <c r="E359" s="1" t="e" cm="1">
        <f t="array" aca="1" ref="E359" ca="1">RIGHT(INDIRECT(ADDRESS(4,2,,,$A359)),5)</f>
        <v>#VALUE!</v>
      </c>
      <c r="F359" s="22">
        <v>1.0335000000000001</v>
      </c>
      <c r="G359" s="22">
        <f t="shared" si="76"/>
        <v>1.0325</v>
      </c>
      <c r="H359" s="7">
        <v>7</v>
      </c>
      <c r="I359" s="7">
        <v>3</v>
      </c>
      <c r="J359" s="26">
        <v>4</v>
      </c>
      <c r="K359" s="26"/>
      <c r="L359" s="26" t="s">
        <v>350</v>
      </c>
      <c r="M359" s="26" t="s">
        <v>351</v>
      </c>
      <c r="N359" s="9" t="str">
        <f>LEFT(INDEX('2026_MAYO_BMT_AUT_PED'!$A$1:$E$30,MATCH($H359,'2026_MAYO_BMT_AUT_PED'!$A$1:$A$30),MATCH(I359,'2026_MAYO_BMT_AUT_PED'!$A$1:$D$1)),30)</f>
        <v xml:space="preserve">PER DIEM RATES for day 61+ of </v>
      </c>
      <c r="O359" s="16">
        <v>2474</v>
      </c>
      <c r="P359" s="507">
        <f t="shared" ref="P359" si="91">ROUND(O359*$G$2,0)</f>
        <v>2554</v>
      </c>
    </row>
    <row r="360" spans="1:17">
      <c r="A360" s="1" t="e">
        <f ca="1">'2026_MAYO_BMT_AUT_PED'!$A$1</f>
        <v>#VALUE!</v>
      </c>
      <c r="B360" s="14" t="e">
        <f t="shared" ca="1" si="88"/>
        <v>#VALUE!</v>
      </c>
      <c r="C360" s="1" t="s">
        <v>370</v>
      </c>
      <c r="D360" s="4" t="e" cm="1">
        <f t="array" aca="1" ref="D360" ca="1">RIGHT(INDIRECT(ADDRESS(6,2,,,$A360)),6)</f>
        <v>#VALUE!</v>
      </c>
      <c r="E360" s="1" t="e" cm="1">
        <f t="array" aca="1" ref="E360" ca="1">RIGHT(INDIRECT(ADDRESS(4,2,,,$A360)),5)</f>
        <v>#VALUE!</v>
      </c>
      <c r="F360" s="22">
        <v>1.0335000000000001</v>
      </c>
      <c r="G360" s="22">
        <f t="shared" si="76"/>
        <v>1.0325</v>
      </c>
      <c r="H360" s="7">
        <v>8</v>
      </c>
      <c r="I360" s="7">
        <v>3</v>
      </c>
      <c r="J360" s="26">
        <v>4</v>
      </c>
      <c r="K360" s="26"/>
      <c r="L360" s="26" t="s">
        <v>350</v>
      </c>
      <c r="M360" s="26" t="s">
        <v>351</v>
      </c>
      <c r="N360" s="9" t="str">
        <f>LEFT(INDEX('2026_MAYO_BMT_AUT_PED'!$A$1:$E$30,MATCH($H360,'2026_MAYO_BMT_AUT_PED'!$A$1:$A$30),MATCH(I360,'2026_MAYO_BMT_AUT_PED'!$A$1:$D$1)),30)</f>
        <v>Days 11+/61+ paid at the per d</v>
      </c>
      <c r="O360" s="16">
        <v>7263.18</v>
      </c>
      <c r="P360" s="509">
        <f>O360*$Q$2</f>
        <v>8014.1928120000002</v>
      </c>
      <c r="Q360" s="14" t="s">
        <v>352</v>
      </c>
    </row>
    <row r="361" spans="1:17">
      <c r="A361" s="1" t="e">
        <f ca="1">'2026_MAYO_BMT_ALLO_REL_PED'!$A$1</f>
        <v>#VALUE!</v>
      </c>
      <c r="B361" s="14" t="e">
        <f t="shared" ca="1" si="88"/>
        <v>#VALUE!</v>
      </c>
      <c r="C361" s="1" t="s">
        <v>370</v>
      </c>
      <c r="D361" s="4" t="e" cm="1">
        <f t="array" aca="1" ref="D361" ca="1">RIGHT(INDIRECT(ADDRESS(6,2,,,$A361)),6)</f>
        <v>#VALUE!</v>
      </c>
      <c r="E361" s="1" t="e" cm="1">
        <f t="array" aca="1" ref="E361" ca="1">RIGHT(INDIRECT(ADDRESS(4,2,,,$A361)),5)</f>
        <v>#VALUE!</v>
      </c>
      <c r="F361" s="22">
        <v>1.0335000000000001</v>
      </c>
      <c r="G361" s="22">
        <f t="shared" si="76"/>
        <v>1.0325</v>
      </c>
      <c r="H361" s="7">
        <v>1</v>
      </c>
      <c r="I361" s="7">
        <v>3</v>
      </c>
      <c r="J361" s="26">
        <v>4</v>
      </c>
      <c r="K361" s="26"/>
      <c r="L361" s="26" t="s">
        <v>350</v>
      </c>
      <c r="M361" s="26" t="s">
        <v>351</v>
      </c>
      <c r="N361" s="9" t="str">
        <f>LEFT(INDEX('2026_MAYO_BMT_ALLO_REL_PED'!$A$1:$E$30,MATCH($H361,'2026_MAYO_BMT_ALLO_REL_PED'!$A$1:$A$30),MATCH(I361,'2026_MAYO_BMT_ALLO_REL_PED'!$A$1:$D$1)),30)</f>
        <v>OUTPATIENT EVALUATION* - Initi</v>
      </c>
      <c r="O361" s="16">
        <v>6348</v>
      </c>
      <c r="P361" s="507">
        <f t="shared" ref="P361:P366" si="92">ROUND(O361*$G$2,0)</f>
        <v>6554</v>
      </c>
    </row>
    <row r="362" spans="1:17">
      <c r="A362" s="1" t="e">
        <f ca="1">'2026_MAYO_BMT_ALLO_REL_PED'!$A$1</f>
        <v>#VALUE!</v>
      </c>
      <c r="B362" s="14" t="e">
        <f t="shared" ca="1" si="88"/>
        <v>#VALUE!</v>
      </c>
      <c r="C362" s="1" t="s">
        <v>370</v>
      </c>
      <c r="D362" s="4" t="e" cm="1">
        <f t="array" aca="1" ref="D362" ca="1">RIGHT(INDIRECT(ADDRESS(6,2,,,$A362)),6)</f>
        <v>#VALUE!</v>
      </c>
      <c r="E362" s="1" t="e" cm="1">
        <f t="array" aca="1" ref="E362" ca="1">RIGHT(INDIRECT(ADDRESS(4,2,,,$A362)),5)</f>
        <v>#VALUE!</v>
      </c>
      <c r="F362" s="22">
        <v>1.0335000000000001</v>
      </c>
      <c r="G362" s="22">
        <f t="shared" si="76"/>
        <v>1.0325</v>
      </c>
      <c r="H362" s="7">
        <v>2</v>
      </c>
      <c r="I362" s="7">
        <v>3</v>
      </c>
      <c r="J362" s="26">
        <v>4</v>
      </c>
      <c r="K362" s="26"/>
      <c r="L362" s="26" t="s">
        <v>350</v>
      </c>
      <c r="M362" s="26" t="s">
        <v>351</v>
      </c>
      <c r="N362" s="9" t="str">
        <f>LEFT(INDEX('2026_MAYO_BMT_ALLO_REL_PED'!$A$1:$E$30,MATCH($H362,'2026_MAYO_BMT_ALLO_REL_PED'!$A$1:$A$30),MATCH(I362,'2026_MAYO_BMT_ALLO_REL_PED'!$A$1:$D$1)),30)</f>
        <v>RELATED DONOR SEARCH*</v>
      </c>
      <c r="O362" s="16">
        <v>6768</v>
      </c>
      <c r="P362" s="507">
        <f t="shared" si="92"/>
        <v>6988</v>
      </c>
    </row>
    <row r="363" spans="1:17">
      <c r="A363" s="1" t="e">
        <f ca="1">'2026_MAYO_BMT_ALLO_REL_PED'!$A$1</f>
        <v>#VALUE!</v>
      </c>
      <c r="B363" s="14" t="e">
        <f t="shared" ca="1" si="88"/>
        <v>#VALUE!</v>
      </c>
      <c r="C363" s="1" t="s">
        <v>370</v>
      </c>
      <c r="D363" s="4" t="e" cm="1">
        <f t="array" aca="1" ref="D363" ca="1">RIGHT(INDIRECT(ADDRESS(6,2,,,$A363)),6)</f>
        <v>#VALUE!</v>
      </c>
      <c r="E363" s="1" t="e" cm="1">
        <f t="array" aca="1" ref="E363" ca="1">RIGHT(INDIRECT(ADDRESS(4,2,,,$A363)),5)</f>
        <v>#VALUE!</v>
      </c>
      <c r="F363" s="22">
        <v>1.0335000000000001</v>
      </c>
      <c r="G363" s="22">
        <f t="shared" si="76"/>
        <v>1.0325</v>
      </c>
      <c r="H363" s="7">
        <v>3</v>
      </c>
      <c r="I363" s="7">
        <v>3</v>
      </c>
      <c r="J363" s="26">
        <v>4</v>
      </c>
      <c r="K363" s="26"/>
      <c r="L363" s="26" t="s">
        <v>350</v>
      </c>
      <c r="M363" s="26" t="s">
        <v>351</v>
      </c>
      <c r="N363" s="9" t="str">
        <f>LEFT(INDEX('2026_MAYO_BMT_ALLO_REL_PED'!$A$1:$E$30,MATCH($H363,'2026_MAYO_BMT_ALLO_REL_PED'!$A$1:$A$30),MATCH(I363,'2026_MAYO_BMT_ALLO_REL_PED'!$A$1:$D$1)),30)</f>
        <v>DONOR RELATED HARVEST (NATIONA</v>
      </c>
      <c r="O363" s="16">
        <v>16917</v>
      </c>
      <c r="P363" s="507">
        <f t="shared" si="92"/>
        <v>17467</v>
      </c>
    </row>
    <row r="364" spans="1:17">
      <c r="A364" s="1" t="e">
        <f ca="1">'2026_MAYO_BMT_ALLO_REL_PED'!$A$1</f>
        <v>#VALUE!</v>
      </c>
      <c r="B364" s="14" t="e">
        <f t="shared" ca="1" si="88"/>
        <v>#VALUE!</v>
      </c>
      <c r="C364" s="1" t="s">
        <v>370</v>
      </c>
      <c r="D364" s="4" t="e" cm="1">
        <f t="array" aca="1" ref="D364" ca="1">RIGHT(INDIRECT(ADDRESS(6,2,,,$A364)),6)</f>
        <v>#VALUE!</v>
      </c>
      <c r="E364" s="1" t="e" cm="1">
        <f t="array" aca="1" ref="E364" ca="1">RIGHT(INDIRECT(ADDRESS(4,2,,,$A364)),5)</f>
        <v>#VALUE!</v>
      </c>
      <c r="F364" s="22">
        <v>1.0335000000000001</v>
      </c>
      <c r="G364" s="22">
        <f t="shared" si="76"/>
        <v>1.0325</v>
      </c>
      <c r="H364" s="7">
        <v>4</v>
      </c>
      <c r="I364" s="7">
        <v>3</v>
      </c>
      <c r="J364" s="26">
        <v>4</v>
      </c>
      <c r="K364" s="26"/>
      <c r="L364" s="26" t="s">
        <v>350</v>
      </c>
      <c r="M364" s="26" t="s">
        <v>351</v>
      </c>
      <c r="N364" s="9" t="str">
        <f>LEFT(INDEX('2026_MAYO_BMT_ALLO_REL_PED'!$A$1:$E$30,MATCH($H364,'2026_MAYO_BMT_ALLO_REL_PED'!$A$1:$A$30),MATCH(I364,'2026_MAYO_BMT_ALLO_REL_PED'!$A$1:$D$1)),30)</f>
        <v>PREP AND TRANSPLANT</v>
      </c>
      <c r="O364" s="16">
        <v>144262</v>
      </c>
      <c r="P364" s="507">
        <f t="shared" si="92"/>
        <v>148951</v>
      </c>
    </row>
    <row r="365" spans="1:17">
      <c r="A365" s="1" t="e">
        <f ca="1">'2026_MAYO_BMT_ALLO_REL_PED'!$A$1</f>
        <v>#VALUE!</v>
      </c>
      <c r="B365" s="14" t="e">
        <f t="shared" ca="1" si="88"/>
        <v>#VALUE!</v>
      </c>
      <c r="C365" s="1" t="s">
        <v>370</v>
      </c>
      <c r="D365" s="4" t="e" cm="1">
        <f t="array" aca="1" ref="D365" ca="1">RIGHT(INDIRECT(ADDRESS(6,2,,,$A365)),6)</f>
        <v>#VALUE!</v>
      </c>
      <c r="E365" s="1" t="e" cm="1">
        <f t="array" aca="1" ref="E365" ca="1">RIGHT(INDIRECT(ADDRESS(4,2,,,$A365)),5)</f>
        <v>#VALUE!</v>
      </c>
      <c r="F365" s="22">
        <v>1.0335000000000001</v>
      </c>
      <c r="G365" s="22">
        <f t="shared" si="76"/>
        <v>1.0325</v>
      </c>
      <c r="H365" s="7">
        <v>5</v>
      </c>
      <c r="I365" s="7">
        <v>3</v>
      </c>
      <c r="J365" s="26">
        <v>4</v>
      </c>
      <c r="K365" s="26"/>
      <c r="L365" s="26" t="s">
        <v>350</v>
      </c>
      <c r="M365" s="26" t="s">
        <v>351</v>
      </c>
      <c r="N365" s="9" t="str">
        <f>LEFT(INDEX('2026_MAYO_BMT_ALLO_REL_PED'!$A$1:$E$30,MATCH($H365,'2026_MAYO_BMT_ALLO_REL_PED'!$A$1:$A$30),MATCH(I365,'2026_MAYO_BMT_ALLO_REL_PED'!$A$1:$D$1)),30)</f>
        <v>FOLLOW UP CARE - From day 1 po</v>
      </c>
      <c r="O365" s="16">
        <v>195585</v>
      </c>
      <c r="P365" s="507">
        <f t="shared" si="92"/>
        <v>201942</v>
      </c>
    </row>
    <row r="366" spans="1:17">
      <c r="A366" s="1" t="e">
        <f ca="1">'2026_MAYO_BMT_ALLO_REL_PED'!$A$1</f>
        <v>#VALUE!</v>
      </c>
      <c r="B366" s="14" t="e">
        <f t="shared" ca="1" si="88"/>
        <v>#VALUE!</v>
      </c>
      <c r="C366" s="1" t="s">
        <v>370</v>
      </c>
      <c r="D366" s="4" t="e" cm="1">
        <f t="array" aca="1" ref="D366" ca="1">RIGHT(INDIRECT(ADDRESS(6,2,,,$A366)),6)</f>
        <v>#VALUE!</v>
      </c>
      <c r="E366" s="1" t="e" cm="1">
        <f t="array" aca="1" ref="E366" ca="1">RIGHT(INDIRECT(ADDRESS(4,2,,,$A366)),5)</f>
        <v>#VALUE!</v>
      </c>
      <c r="F366" s="22">
        <v>1.0335000000000001</v>
      </c>
      <c r="G366" s="22">
        <f t="shared" si="76"/>
        <v>1.0325</v>
      </c>
      <c r="H366" s="7">
        <v>6</v>
      </c>
      <c r="I366" s="7">
        <v>3</v>
      </c>
      <c r="J366" s="26">
        <v>4</v>
      </c>
      <c r="K366" s="26"/>
      <c r="L366" s="26" t="s">
        <v>350</v>
      </c>
      <c r="M366" s="26" t="s">
        <v>351</v>
      </c>
      <c r="N366" s="9" t="str">
        <f>LEFT(INDEX('2026_MAYO_BMT_ALLO_REL_PED'!$A$1:$E$30,MATCH($H366,'2026_MAYO_BMT_ALLO_REL_PED'!$A$1:$A$30),MATCH(I366,'2026_MAYO_BMT_ALLO_REL_PED'!$A$1:$D$1)),30)</f>
        <v xml:space="preserve">FOLLOW UP CARE - From day 31  </v>
      </c>
      <c r="O366" s="16">
        <v>27794</v>
      </c>
      <c r="P366" s="507">
        <f t="shared" si="92"/>
        <v>28697</v>
      </c>
    </row>
    <row r="367" spans="1:17">
      <c r="A367" s="1" t="e">
        <f ca="1">'2026_MAYO_BMT_ALLO_REL_PED'!$A$1</f>
        <v>#VALUE!</v>
      </c>
      <c r="B367" s="14" t="e">
        <f t="shared" ca="1" si="88"/>
        <v>#VALUE!</v>
      </c>
      <c r="C367" s="1" t="s">
        <v>370</v>
      </c>
      <c r="D367" s="4" t="e" cm="1">
        <f t="array" aca="1" ref="D367" ca="1">RIGHT(INDIRECT(ADDRESS(6,2,,,$A367)),6)</f>
        <v>#VALUE!</v>
      </c>
      <c r="E367" s="1" t="e" cm="1">
        <f t="array" aca="1" ref="E367" ca="1">RIGHT(INDIRECT(ADDRESS(4,2,,,$A367)),5)</f>
        <v>#VALUE!</v>
      </c>
      <c r="F367" s="22">
        <v>1.0335000000000001</v>
      </c>
      <c r="G367" s="22">
        <f t="shared" si="76"/>
        <v>1.0325</v>
      </c>
      <c r="H367" s="7">
        <v>7</v>
      </c>
      <c r="I367" s="7">
        <v>3</v>
      </c>
      <c r="J367" s="26">
        <v>4</v>
      </c>
      <c r="K367" s="26"/>
      <c r="L367" s="26" t="s">
        <v>350</v>
      </c>
      <c r="M367" s="26" t="s">
        <v>351</v>
      </c>
      <c r="N367" s="9" t="str">
        <f>LEFT(INDEX('2026_MAYO_BMT_ALLO_REL_PED'!$A$1:$E$30,MATCH($H367,'2026_MAYO_BMT_ALLO_REL_PED'!$A$1:$A$30),MATCH(I367,'2026_MAYO_BMT_ALLO_REL_PED'!$A$1:$D$1)),30)</f>
        <v>OUTPATIENT FOLLOW UP CARE - Fr</v>
      </c>
      <c r="O367" s="16" t="s">
        <v>371</v>
      </c>
      <c r="P367" s="507" t="str">
        <f t="shared" ref="P367" si="93">O367</f>
        <v>Fee For Service rates</v>
      </c>
      <c r="Q367" s="14" t="s">
        <v>354</v>
      </c>
    </row>
    <row r="368" spans="1:17">
      <c r="A368" s="1" t="e">
        <f ca="1">'2026_MAYO_BMT_ALLO_REL_PED'!$A$1</f>
        <v>#VALUE!</v>
      </c>
      <c r="B368" s="14" t="e">
        <f t="shared" ca="1" si="88"/>
        <v>#VALUE!</v>
      </c>
      <c r="C368" s="1" t="s">
        <v>370</v>
      </c>
      <c r="D368" s="4" t="e" cm="1">
        <f t="array" aca="1" ref="D368" ca="1">RIGHT(INDIRECT(ADDRESS(6,2,,,$A368)),6)</f>
        <v>#VALUE!</v>
      </c>
      <c r="E368" s="1" t="e" cm="1">
        <f t="array" aca="1" ref="E368" ca="1">RIGHT(INDIRECT(ADDRESS(4,2,,,$A368)),5)</f>
        <v>#VALUE!</v>
      </c>
      <c r="F368" s="22">
        <v>1.0335000000000001</v>
      </c>
      <c r="G368" s="22">
        <f t="shared" si="76"/>
        <v>1.0325</v>
      </c>
      <c r="H368" s="7">
        <v>8</v>
      </c>
      <c r="I368" s="7">
        <v>3</v>
      </c>
      <c r="J368" s="26">
        <v>4</v>
      </c>
      <c r="K368" s="26"/>
      <c r="L368" s="26" t="s">
        <v>350</v>
      </c>
      <c r="M368" s="26" t="s">
        <v>351</v>
      </c>
      <c r="N368" s="9" t="str">
        <f>LEFT(INDEX('2026_MAYO_BMT_ALLO_REL_PED'!$A$1:$E$30,MATCH($H368,'2026_MAYO_BMT_ALLO_REL_PED'!$A$1:$A$30),MATCH(I368,'2026_MAYO_BMT_ALLO_REL_PED'!$A$1:$D$1)),30)</f>
        <v xml:space="preserve">PER DIEM RATES for day 61+ of </v>
      </c>
      <c r="O368" s="16">
        <v>2474</v>
      </c>
      <c r="P368" s="507">
        <f t="shared" ref="P368" si="94">ROUND(O368*$G$2,0)</f>
        <v>2554</v>
      </c>
    </row>
    <row r="369" spans="1:17">
      <c r="A369" s="1" t="e">
        <f ca="1">'2026_MAYO_BMT_ALLO_REL_PED'!$A$1</f>
        <v>#VALUE!</v>
      </c>
      <c r="B369" s="14" t="e">
        <f t="shared" ca="1" si="88"/>
        <v>#VALUE!</v>
      </c>
      <c r="C369" s="1" t="s">
        <v>370</v>
      </c>
      <c r="D369" s="4" t="e" cm="1">
        <f t="array" aca="1" ref="D369" ca="1">RIGHT(INDIRECT(ADDRESS(6,2,,,$A369)),6)</f>
        <v>#VALUE!</v>
      </c>
      <c r="E369" s="1" t="e" cm="1">
        <f t="array" aca="1" ref="E369" ca="1">RIGHT(INDIRECT(ADDRESS(4,2,,,$A369)),5)</f>
        <v>#VALUE!</v>
      </c>
      <c r="F369" s="22">
        <v>1.0335000000000001</v>
      </c>
      <c r="G369" s="22">
        <f t="shared" si="76"/>
        <v>1.0325</v>
      </c>
      <c r="H369" s="7">
        <v>9</v>
      </c>
      <c r="I369" s="7">
        <v>3</v>
      </c>
      <c r="J369" s="26">
        <v>4</v>
      </c>
      <c r="K369" s="26"/>
      <c r="L369" s="26" t="s">
        <v>350</v>
      </c>
      <c r="M369" s="26" t="s">
        <v>351</v>
      </c>
      <c r="N369" s="9" t="str">
        <f>LEFT(INDEX('2026_MAYO_BMT_ALLO_REL_PED'!$A$1:$E$30,MATCH($H369,'2026_MAYO_BMT_ALLO_REL_PED'!$A$1:$A$30),MATCH(I369,'2026_MAYO_BMT_ALLO_REL_PED'!$A$1:$D$1)),30)</f>
        <v>Days 11+/61+ paid at the per d</v>
      </c>
      <c r="O369" s="16">
        <v>7263.18</v>
      </c>
      <c r="P369" s="509">
        <f>O369*$Q$2</f>
        <v>8014.1928120000002</v>
      </c>
      <c r="Q369" s="14" t="s">
        <v>352</v>
      </c>
    </row>
    <row r="370" spans="1:17">
      <c r="A370" s="1" t="e">
        <f ca="1">'2026_MAYO_HAPLOID_BMT_PED'!$A$1</f>
        <v>#VALUE!</v>
      </c>
      <c r="B370" s="14" t="e">
        <f t="shared" ca="1" si="88"/>
        <v>#VALUE!</v>
      </c>
      <c r="C370" s="1" t="s">
        <v>370</v>
      </c>
      <c r="D370" s="4" t="e" cm="1">
        <f t="array" aca="1" ref="D370" ca="1">RIGHT(INDIRECT(ADDRESS(6,2,,,$A370)),6)</f>
        <v>#VALUE!</v>
      </c>
      <c r="E370" s="1" t="e" cm="1">
        <f t="array" aca="1" ref="E370" ca="1">RIGHT(INDIRECT(ADDRESS(4,2,,,$A370)),5)</f>
        <v>#VALUE!</v>
      </c>
      <c r="F370" s="22">
        <v>1.0335000000000001</v>
      </c>
      <c r="G370" s="22">
        <f t="shared" si="76"/>
        <v>1.0325</v>
      </c>
      <c r="H370" s="7">
        <v>1</v>
      </c>
      <c r="I370" s="7">
        <v>3</v>
      </c>
      <c r="J370" s="26">
        <v>4</v>
      </c>
      <c r="K370" s="26"/>
      <c r="L370" s="26" t="s">
        <v>350</v>
      </c>
      <c r="M370" s="26" t="s">
        <v>351</v>
      </c>
      <c r="N370" s="9" t="str">
        <f>LEFT(INDEX('2026_MAYO_HAPLOID_BMT_PED'!$A$1:$E$30,MATCH($H370,'2026_MAYO_HAPLOID_BMT_PED'!$A$1:$A$30),MATCH(I370,'2026_MAYO_HAPLOID_BMT_PED'!$A$1:$D$1)),30)</f>
        <v>OUTPATIENT EVALUATION* - Initi</v>
      </c>
      <c r="O370" s="16">
        <v>6127</v>
      </c>
      <c r="P370" s="507">
        <f t="shared" ref="P370:P375" si="95">ROUND(O370*$G$2,0)</f>
        <v>6326</v>
      </c>
    </row>
    <row r="371" spans="1:17">
      <c r="A371" s="1" t="e">
        <f ca="1">'2026_MAYO_HAPLOID_BMT_PED'!$A$1</f>
        <v>#VALUE!</v>
      </c>
      <c r="B371" s="14" t="e">
        <f t="shared" ca="1" si="88"/>
        <v>#VALUE!</v>
      </c>
      <c r="C371" s="1" t="s">
        <v>370</v>
      </c>
      <c r="D371" s="4" t="e" cm="1">
        <f t="array" aca="1" ref="D371" ca="1">RIGHT(INDIRECT(ADDRESS(6,2,,,$A371)),6)</f>
        <v>#VALUE!</v>
      </c>
      <c r="E371" s="1" t="e" cm="1">
        <f t="array" aca="1" ref="E371" ca="1">RIGHT(INDIRECT(ADDRESS(4,2,,,$A371)),5)</f>
        <v>#VALUE!</v>
      </c>
      <c r="F371" s="22">
        <v>1.0335000000000001</v>
      </c>
      <c r="G371" s="22">
        <f t="shared" si="76"/>
        <v>1.0325</v>
      </c>
      <c r="H371" s="7">
        <v>2</v>
      </c>
      <c r="I371" s="7">
        <v>3</v>
      </c>
      <c r="J371" s="26">
        <v>4</v>
      </c>
      <c r="K371" s="26"/>
      <c r="L371" s="26" t="s">
        <v>350</v>
      </c>
      <c r="M371" s="26" t="s">
        <v>351</v>
      </c>
      <c r="N371" s="9" t="str">
        <f>LEFT(INDEX('2026_MAYO_HAPLOID_BMT_PED'!$A$1:$E$30,MATCH($H371,'2026_MAYO_HAPLOID_BMT_PED'!$A$1:$A$30),MATCH(I371,'2026_MAYO_HAPLOID_BMT_PED'!$A$1:$D$1)),30)</f>
        <v>DONOR SEARCH*</v>
      </c>
      <c r="O371" s="16">
        <v>10648</v>
      </c>
      <c r="P371" s="507">
        <f t="shared" si="95"/>
        <v>10994</v>
      </c>
    </row>
    <row r="372" spans="1:17">
      <c r="A372" s="1" t="e">
        <f ca="1">'2026_MAYO_HAPLOID_BMT_PED'!$A$1</f>
        <v>#VALUE!</v>
      </c>
      <c r="B372" s="14" t="e">
        <f t="shared" ca="1" si="88"/>
        <v>#VALUE!</v>
      </c>
      <c r="C372" s="1" t="s">
        <v>370</v>
      </c>
      <c r="D372" s="4" t="e" cm="1">
        <f t="array" aca="1" ref="D372" ca="1">RIGHT(INDIRECT(ADDRESS(6,2,,,$A372)),6)</f>
        <v>#VALUE!</v>
      </c>
      <c r="E372" s="1" t="e" cm="1">
        <f t="array" aca="1" ref="E372" ca="1">RIGHT(INDIRECT(ADDRESS(4,2,,,$A372)),5)</f>
        <v>#VALUE!</v>
      </c>
      <c r="F372" s="22">
        <v>1.0335000000000001</v>
      </c>
      <c r="G372" s="22">
        <f t="shared" si="76"/>
        <v>1.0325</v>
      </c>
      <c r="H372" s="7">
        <v>3</v>
      </c>
      <c r="I372" s="7">
        <v>3</v>
      </c>
      <c r="J372" s="26">
        <v>4</v>
      </c>
      <c r="K372" s="26"/>
      <c r="L372" s="26" t="s">
        <v>350</v>
      </c>
      <c r="M372" s="26" t="s">
        <v>351</v>
      </c>
      <c r="N372" s="9" t="str">
        <f>LEFT(INDEX('2026_MAYO_HAPLOID_BMT_PED'!$A$1:$E$30,MATCH($H372,'2026_MAYO_HAPLOID_BMT_PED'!$A$1:$A$30),MATCH(I372,'2026_MAYO_HAPLOID_BMT_PED'!$A$1:$D$1)),30)</f>
        <v>DONOR HARVEST (INCLUDES STEM C</v>
      </c>
      <c r="O372" s="16">
        <v>16084</v>
      </c>
      <c r="P372" s="507">
        <f t="shared" si="95"/>
        <v>16607</v>
      </c>
    </row>
    <row r="373" spans="1:17">
      <c r="A373" s="1" t="e">
        <f ca="1">'2026_MAYO_HAPLOID_BMT_PED'!$A$1</f>
        <v>#VALUE!</v>
      </c>
      <c r="B373" s="14" t="e">
        <f t="shared" ca="1" si="88"/>
        <v>#VALUE!</v>
      </c>
      <c r="C373" s="1" t="s">
        <v>370</v>
      </c>
      <c r="D373" s="4" t="e" cm="1">
        <f t="array" aca="1" ref="D373" ca="1">RIGHT(INDIRECT(ADDRESS(6,2,,,$A373)),6)</f>
        <v>#VALUE!</v>
      </c>
      <c r="E373" s="1" t="e" cm="1">
        <f t="array" aca="1" ref="E373" ca="1">RIGHT(INDIRECT(ADDRESS(4,2,,,$A373)),5)</f>
        <v>#VALUE!</v>
      </c>
      <c r="F373" s="22">
        <v>1.0335000000000001</v>
      </c>
      <c r="G373" s="22">
        <f t="shared" si="76"/>
        <v>1.0325</v>
      </c>
      <c r="H373" s="7">
        <v>4</v>
      </c>
      <c r="I373" s="7">
        <v>3</v>
      </c>
      <c r="J373" s="26">
        <v>4</v>
      </c>
      <c r="K373" s="26"/>
      <c r="L373" s="26" t="s">
        <v>350</v>
      </c>
      <c r="M373" s="26" t="s">
        <v>351</v>
      </c>
      <c r="N373" s="9" t="str">
        <f>LEFT(INDEX('2026_MAYO_HAPLOID_BMT_PED'!$A$1:$E$30,MATCH($H373,'2026_MAYO_HAPLOID_BMT_PED'!$A$1:$A$30),MATCH(I373,'2026_MAYO_HAPLOID_BMT_PED'!$A$1:$D$1)),30)</f>
        <v>PREP AND TRANSPLANT</v>
      </c>
      <c r="O373" s="16">
        <v>56745</v>
      </c>
      <c r="P373" s="507">
        <f t="shared" si="95"/>
        <v>58589</v>
      </c>
    </row>
    <row r="374" spans="1:17">
      <c r="A374" s="1" t="e">
        <f ca="1">'2026_MAYO_HAPLOID_BMT_PED'!$A$1</f>
        <v>#VALUE!</v>
      </c>
      <c r="B374" s="14" t="e">
        <f t="shared" ca="1" si="88"/>
        <v>#VALUE!</v>
      </c>
      <c r="C374" s="1" t="s">
        <v>370</v>
      </c>
      <c r="D374" s="4" t="e" cm="1">
        <f t="array" aca="1" ref="D374" ca="1">RIGHT(INDIRECT(ADDRESS(6,2,,,$A374)),6)</f>
        <v>#VALUE!</v>
      </c>
      <c r="E374" s="1" t="e" cm="1">
        <f t="array" aca="1" ref="E374" ca="1">RIGHT(INDIRECT(ADDRESS(4,2,,,$A374)),5)</f>
        <v>#VALUE!</v>
      </c>
      <c r="F374" s="22">
        <v>1.0335000000000001</v>
      </c>
      <c r="G374" s="22">
        <f t="shared" si="76"/>
        <v>1.0325</v>
      </c>
      <c r="H374" s="7">
        <v>5</v>
      </c>
      <c r="I374" s="7">
        <v>3</v>
      </c>
      <c r="J374" s="26">
        <v>4</v>
      </c>
      <c r="K374" s="26"/>
      <c r="L374" s="26" t="s">
        <v>350</v>
      </c>
      <c r="M374" s="26" t="s">
        <v>351</v>
      </c>
      <c r="N374" s="9" t="str">
        <f>LEFT(INDEX('2026_MAYO_HAPLOID_BMT_PED'!$A$1:$E$30,MATCH($H374,'2026_MAYO_HAPLOID_BMT_PED'!$A$1:$A$30),MATCH(I374,'2026_MAYO_HAPLOID_BMT_PED'!$A$1:$D$1)),30)</f>
        <v>FOLLOW UP CARE - From day 1 po</v>
      </c>
      <c r="O374" s="16">
        <v>105490</v>
      </c>
      <c r="P374" s="507">
        <f t="shared" si="95"/>
        <v>108918</v>
      </c>
    </row>
    <row r="375" spans="1:17">
      <c r="A375" s="1" t="e">
        <f ca="1">'2026_MAYO_HAPLOID_BMT_PED'!$A$1</f>
        <v>#VALUE!</v>
      </c>
      <c r="B375" s="14" t="e">
        <f t="shared" ca="1" si="88"/>
        <v>#VALUE!</v>
      </c>
      <c r="C375" s="1" t="s">
        <v>370</v>
      </c>
      <c r="D375" s="4" t="e" cm="1">
        <f t="array" aca="1" ref="D375" ca="1">RIGHT(INDIRECT(ADDRESS(6,2,,,$A375)),6)</f>
        <v>#VALUE!</v>
      </c>
      <c r="E375" s="1" t="e" cm="1">
        <f t="array" aca="1" ref="E375" ca="1">RIGHT(INDIRECT(ADDRESS(4,2,,,$A375)),5)</f>
        <v>#VALUE!</v>
      </c>
      <c r="F375" s="22">
        <v>1.0335000000000001</v>
      </c>
      <c r="G375" s="22">
        <f t="shared" si="76"/>
        <v>1.0325</v>
      </c>
      <c r="H375" s="7">
        <v>6</v>
      </c>
      <c r="I375" s="7">
        <v>3</v>
      </c>
      <c r="J375" s="26">
        <v>4</v>
      </c>
      <c r="K375" s="26"/>
      <c r="L375" s="26" t="s">
        <v>350</v>
      </c>
      <c r="M375" s="26" t="s">
        <v>351</v>
      </c>
      <c r="N375" s="9" t="str">
        <f>LEFT(INDEX('2026_MAYO_HAPLOID_BMT_PED'!$A$1:$E$30,MATCH($H375,'2026_MAYO_HAPLOID_BMT_PED'!$A$1:$A$30),MATCH(I375,'2026_MAYO_HAPLOID_BMT_PED'!$A$1:$D$1)),30)</f>
        <v xml:space="preserve">FOLLOW UP CARE - From day 31  </v>
      </c>
      <c r="O375" s="16">
        <v>31492</v>
      </c>
      <c r="P375" s="507">
        <f t="shared" si="95"/>
        <v>32515</v>
      </c>
    </row>
    <row r="376" spans="1:17">
      <c r="A376" s="1" t="e">
        <f ca="1">'2026_MAYO_HAPLOID_BMT_PED'!$A$1</f>
        <v>#VALUE!</v>
      </c>
      <c r="B376" s="14" t="e">
        <f t="shared" ca="1" si="88"/>
        <v>#VALUE!</v>
      </c>
      <c r="C376" s="1" t="s">
        <v>370</v>
      </c>
      <c r="D376" s="4" t="e" cm="1">
        <f t="array" aca="1" ref="D376" ca="1">RIGHT(INDIRECT(ADDRESS(6,2,,,$A376)),6)</f>
        <v>#VALUE!</v>
      </c>
      <c r="E376" s="1" t="e" cm="1">
        <f t="array" aca="1" ref="E376" ca="1">RIGHT(INDIRECT(ADDRESS(4,2,,,$A376)),5)</f>
        <v>#VALUE!</v>
      </c>
      <c r="F376" s="22">
        <v>1.0335000000000001</v>
      </c>
      <c r="G376" s="22">
        <f t="shared" si="76"/>
        <v>1.0325</v>
      </c>
      <c r="H376" s="7">
        <v>7</v>
      </c>
      <c r="I376" s="7">
        <v>3</v>
      </c>
      <c r="J376" s="26">
        <v>4</v>
      </c>
      <c r="K376" s="26"/>
      <c r="L376" s="26" t="s">
        <v>350</v>
      </c>
      <c r="M376" s="26" t="s">
        <v>351</v>
      </c>
      <c r="N376" s="9" t="str">
        <f>LEFT(INDEX('2026_MAYO_HAPLOID_BMT_PED'!$A$1:$E$30,MATCH($H376,'2026_MAYO_HAPLOID_BMT_PED'!$A$1:$A$30),MATCH(I376,'2026_MAYO_HAPLOID_BMT_PED'!$A$1:$D$1)),30)</f>
        <v>OUTPATIENT FOLLOW UP CARE - Fr</v>
      </c>
      <c r="O376" s="16" t="s">
        <v>371</v>
      </c>
      <c r="P376" s="507" t="str">
        <f t="shared" ref="P376" si="96">O376</f>
        <v>Fee For Service rates</v>
      </c>
      <c r="Q376" s="14" t="s">
        <v>354</v>
      </c>
    </row>
    <row r="377" spans="1:17">
      <c r="A377" s="1" t="e">
        <f ca="1">'2026_MAYO_HAPLOID_BMT_PED'!$A$1</f>
        <v>#VALUE!</v>
      </c>
      <c r="B377" s="14" t="e">
        <f t="shared" ca="1" si="88"/>
        <v>#VALUE!</v>
      </c>
      <c r="C377" s="1" t="s">
        <v>370</v>
      </c>
      <c r="D377" s="4" t="e" cm="1">
        <f t="array" aca="1" ref="D377" ca="1">RIGHT(INDIRECT(ADDRESS(6,2,,,$A377)),6)</f>
        <v>#VALUE!</v>
      </c>
      <c r="E377" s="1" t="e" cm="1">
        <f t="array" aca="1" ref="E377" ca="1">RIGHT(INDIRECT(ADDRESS(4,2,,,$A377)),5)</f>
        <v>#VALUE!</v>
      </c>
      <c r="F377" s="22">
        <v>1.0335000000000001</v>
      </c>
      <c r="G377" s="22">
        <f t="shared" si="76"/>
        <v>1.0325</v>
      </c>
      <c r="H377" s="7">
        <v>8</v>
      </c>
      <c r="I377" s="7">
        <v>3</v>
      </c>
      <c r="J377" s="26">
        <v>4</v>
      </c>
      <c r="K377" s="26"/>
      <c r="L377" s="26" t="s">
        <v>350</v>
      </c>
      <c r="M377" s="26" t="s">
        <v>351</v>
      </c>
      <c r="N377" s="9" t="str">
        <f>LEFT(INDEX('2026_MAYO_HAPLOID_BMT_PED'!$A$1:$E$30,MATCH($H377,'2026_MAYO_HAPLOID_BMT_PED'!$A$1:$A$30),MATCH(I377,'2026_MAYO_HAPLOID_BMT_PED'!$A$1:$D$1)),30)</f>
        <v xml:space="preserve">PER DIEM RATES for day 61+ of </v>
      </c>
      <c r="O377" s="16">
        <v>2474</v>
      </c>
      <c r="P377" s="507">
        <f t="shared" ref="P377" si="97">ROUND(O377*$G$2,0)</f>
        <v>2554</v>
      </c>
    </row>
    <row r="378" spans="1:17">
      <c r="A378" s="1" t="e">
        <f ca="1">'2026_MAYO_HAPLOID_BMT_PED'!$A$1</f>
        <v>#VALUE!</v>
      </c>
      <c r="B378" s="14" t="e">
        <f t="shared" ca="1" si="88"/>
        <v>#VALUE!</v>
      </c>
      <c r="C378" s="1" t="s">
        <v>370</v>
      </c>
      <c r="D378" s="4" t="e" cm="1">
        <f t="array" aca="1" ref="D378" ca="1">RIGHT(INDIRECT(ADDRESS(6,2,,,$A378)),6)</f>
        <v>#VALUE!</v>
      </c>
      <c r="E378" s="1" t="e" cm="1">
        <f t="array" aca="1" ref="E378" ca="1">RIGHT(INDIRECT(ADDRESS(4,2,,,$A378)),5)</f>
        <v>#VALUE!</v>
      </c>
      <c r="F378" s="22">
        <v>1.0335000000000001</v>
      </c>
      <c r="G378" s="22">
        <f t="shared" si="76"/>
        <v>1.0325</v>
      </c>
      <c r="H378" s="7">
        <v>9</v>
      </c>
      <c r="I378" s="7">
        <v>3</v>
      </c>
      <c r="J378" s="26">
        <v>4</v>
      </c>
      <c r="K378" s="26"/>
      <c r="L378" s="26" t="s">
        <v>350</v>
      </c>
      <c r="M378" s="26" t="s">
        <v>351</v>
      </c>
      <c r="N378" s="9" t="str">
        <f>LEFT(INDEX('2026_MAYO_HAPLOID_BMT_PED'!$A$1:$E$30,MATCH($H378,'2026_MAYO_HAPLOID_BMT_PED'!$A$1:$A$30),MATCH(I378,'2026_MAYO_HAPLOID_BMT_PED'!$A$1:$D$1)),30)</f>
        <v>Days 11+/61+ paid at the per d</v>
      </c>
      <c r="O378" s="16">
        <v>7263.18</v>
      </c>
      <c r="P378" s="509">
        <f>O378*$Q$2</f>
        <v>8014.1928120000002</v>
      </c>
      <c r="Q378" s="14" t="s">
        <v>352</v>
      </c>
    </row>
    <row r="379" spans="1:17">
      <c r="A379" s="1" t="e">
        <f ca="1">'2026_MAYO_BMT_ALLO_UNR_PED'!$A$1</f>
        <v>#VALUE!</v>
      </c>
      <c r="B379" s="14" t="e">
        <f t="shared" ca="1" si="88"/>
        <v>#VALUE!</v>
      </c>
      <c r="C379" s="1" t="s">
        <v>370</v>
      </c>
      <c r="D379" s="4" t="e" cm="1">
        <f t="array" aca="1" ref="D379" ca="1">RIGHT(INDIRECT(ADDRESS(6,2,,,$A379)),6)</f>
        <v>#VALUE!</v>
      </c>
      <c r="E379" s="1" t="e" cm="1">
        <f t="array" aca="1" ref="E379" ca="1">RIGHT(INDIRECT(ADDRESS(4,2,,,$A379)),5)</f>
        <v>#VALUE!</v>
      </c>
      <c r="F379" s="22">
        <v>1.0335000000000001</v>
      </c>
      <c r="G379" s="22">
        <f t="shared" si="76"/>
        <v>1.0325</v>
      </c>
      <c r="H379" s="7">
        <v>1</v>
      </c>
      <c r="I379" s="7">
        <v>3</v>
      </c>
      <c r="J379" s="26">
        <v>4</v>
      </c>
      <c r="K379" s="26"/>
      <c r="L379" s="26" t="s">
        <v>350</v>
      </c>
      <c r="M379" s="26" t="s">
        <v>351</v>
      </c>
      <c r="N379" s="9" t="str">
        <f>LEFT(INDEX('2026_MAYO_BMT_ALLO_UNR_PED'!$A$1:$E$30,MATCH($H379,'2026_MAYO_BMT_ALLO_UNR_PED'!$A$1:$A$30),MATCH(I379,'2026_MAYO_BMT_ALLO_UNR_PED'!$A$1:$D$1)),30)</f>
        <v>OUTPATIENT EVALUATION* - Initi</v>
      </c>
      <c r="O379" s="16">
        <v>5991</v>
      </c>
      <c r="P379" s="507">
        <f t="shared" ref="P379:P380" si="98">ROUND(O379*$G$2,0)</f>
        <v>6186</v>
      </c>
    </row>
    <row r="380" spans="1:17">
      <c r="A380" s="1" t="e">
        <f ca="1">'2026_MAYO_BMT_ALLO_UNR_PED'!$A$1</f>
        <v>#VALUE!</v>
      </c>
      <c r="B380" s="14" t="e">
        <f t="shared" ca="1" si="88"/>
        <v>#VALUE!</v>
      </c>
      <c r="C380" s="1" t="s">
        <v>370</v>
      </c>
      <c r="D380" s="4" t="e" cm="1">
        <f t="array" aca="1" ref="D380" ca="1">RIGHT(INDIRECT(ADDRESS(6,2,,,$A380)),6)</f>
        <v>#VALUE!</v>
      </c>
      <c r="E380" s="1" t="e" cm="1">
        <f t="array" aca="1" ref="E380" ca="1">RIGHT(INDIRECT(ADDRESS(4,2,,,$A380)),5)</f>
        <v>#VALUE!</v>
      </c>
      <c r="F380" s="22">
        <v>1.0335000000000001</v>
      </c>
      <c r="G380" s="22">
        <f t="shared" si="76"/>
        <v>1.0325</v>
      </c>
      <c r="H380" s="7">
        <v>2</v>
      </c>
      <c r="I380" s="7">
        <v>3</v>
      </c>
      <c r="J380" s="26">
        <v>4</v>
      </c>
      <c r="K380" s="26"/>
      <c r="L380" s="26" t="s">
        <v>350</v>
      </c>
      <c r="M380" s="26" t="s">
        <v>351</v>
      </c>
      <c r="N380" s="9" t="str">
        <f>LEFT(INDEX('2026_MAYO_BMT_ALLO_UNR_PED'!$A$1:$E$30,MATCH($H380,'2026_MAYO_BMT_ALLO_UNR_PED'!$A$1:$A$30),MATCH(I380,'2026_MAYO_BMT_ALLO_UNR_PED'!$A$1:$D$1)),30)</f>
        <v>UNRELATED DONOR SEARCH</v>
      </c>
      <c r="O380" s="16">
        <v>10188</v>
      </c>
      <c r="P380" s="507">
        <f t="shared" si="98"/>
        <v>10519</v>
      </c>
    </row>
    <row r="381" spans="1:17">
      <c r="A381" s="1" t="e">
        <f ca="1">'2026_MAYO_BMT_ALLO_UNR_PED'!$A$1</f>
        <v>#VALUE!</v>
      </c>
      <c r="B381" s="14" t="e">
        <f t="shared" ca="1" si="88"/>
        <v>#VALUE!</v>
      </c>
      <c r="C381" s="1" t="s">
        <v>370</v>
      </c>
      <c r="D381" s="4" t="e" cm="1">
        <f t="array" aca="1" ref="D381" ca="1">RIGHT(INDIRECT(ADDRESS(6,2,,,$A381)),6)</f>
        <v>#VALUE!</v>
      </c>
      <c r="E381" s="1" t="e" cm="1">
        <f t="array" aca="1" ref="E381" ca="1">RIGHT(INDIRECT(ADDRESS(4,2,,,$A381)),5)</f>
        <v>#VALUE!</v>
      </c>
      <c r="F381" s="22">
        <v>1.0335000000000001</v>
      </c>
      <c r="G381" s="22">
        <f t="shared" si="76"/>
        <v>1.0325</v>
      </c>
      <c r="H381" s="7">
        <v>3</v>
      </c>
      <c r="I381" s="7">
        <v>3</v>
      </c>
      <c r="J381" s="26">
        <v>4</v>
      </c>
      <c r="K381" s="26"/>
      <c r="L381" s="26" t="s">
        <v>350</v>
      </c>
      <c r="M381" s="26" t="s">
        <v>351</v>
      </c>
      <c r="N381" s="9" t="str">
        <f>LEFT(INDEX('2026_MAYO_BMT_ALLO_UNR_PED'!$A$1:$E$30,MATCH($H381,'2026_MAYO_BMT_ALLO_UNR_PED'!$A$1:$A$30),MATCH(I381,'2026_MAYO_BMT_ALLO_UNR_PED'!$A$1:$D$1)),30)</f>
        <v>DONOR HARVEST (INCLUDES STEM C</v>
      </c>
      <c r="O381" s="16" t="s">
        <v>355</v>
      </c>
      <c r="P381" s="507" t="str">
        <f t="shared" ref="P381" si="99">O381</f>
        <v>NBMD or Cord blood Invoice Cost</v>
      </c>
      <c r="Q381" s="14" t="s">
        <v>354</v>
      </c>
    </row>
    <row r="382" spans="1:17">
      <c r="A382" s="1" t="e">
        <f ca="1">'2026_MAYO_BMT_ALLO_UNR_PED'!$A$1</f>
        <v>#VALUE!</v>
      </c>
      <c r="B382" s="14" t="e">
        <f t="shared" ca="1" si="88"/>
        <v>#VALUE!</v>
      </c>
      <c r="C382" s="1" t="s">
        <v>370</v>
      </c>
      <c r="D382" s="4" t="e" cm="1">
        <f t="array" aca="1" ref="D382" ca="1">RIGHT(INDIRECT(ADDRESS(6,2,,,$A382)),6)</f>
        <v>#VALUE!</v>
      </c>
      <c r="E382" s="1" t="e" cm="1">
        <f t="array" aca="1" ref="E382" ca="1">RIGHT(INDIRECT(ADDRESS(4,2,,,$A382)),5)</f>
        <v>#VALUE!</v>
      </c>
      <c r="F382" s="22">
        <v>1.0335000000000001</v>
      </c>
      <c r="G382" s="22">
        <f t="shared" si="76"/>
        <v>1.0325</v>
      </c>
      <c r="H382" s="7">
        <v>4</v>
      </c>
      <c r="I382" s="7">
        <v>3</v>
      </c>
      <c r="J382" s="26">
        <v>4</v>
      </c>
      <c r="K382" s="26"/>
      <c r="L382" s="26" t="s">
        <v>350</v>
      </c>
      <c r="M382" s="26" t="s">
        <v>351</v>
      </c>
      <c r="N382" s="9" t="str">
        <f>LEFT(INDEX('2026_MAYO_BMT_ALLO_UNR_PED'!$A$1:$E$30,MATCH($H382,'2026_MAYO_BMT_ALLO_UNR_PED'!$A$1:$A$30),MATCH(I382,'2026_MAYO_BMT_ALLO_UNR_PED'!$A$1:$D$1)),30)</f>
        <v>PREP AND TRANSPLANT</v>
      </c>
      <c r="O382" s="16">
        <v>55505</v>
      </c>
      <c r="P382" s="507">
        <f t="shared" ref="P382:P384" si="100">ROUND(O382*$G$2,0)</f>
        <v>57309</v>
      </c>
    </row>
    <row r="383" spans="1:17">
      <c r="A383" s="1" t="e">
        <f ca="1">'2026_MAYO_BMT_ALLO_UNR_PED'!$A$1</f>
        <v>#VALUE!</v>
      </c>
      <c r="B383" s="14" t="e">
        <f t="shared" ca="1" si="88"/>
        <v>#VALUE!</v>
      </c>
      <c r="C383" s="1" t="s">
        <v>370</v>
      </c>
      <c r="D383" s="4" t="e" cm="1">
        <f t="array" aca="1" ref="D383" ca="1">RIGHT(INDIRECT(ADDRESS(6,2,,,$A383)),6)</f>
        <v>#VALUE!</v>
      </c>
      <c r="E383" s="1" t="e" cm="1">
        <f t="array" aca="1" ref="E383" ca="1">RIGHT(INDIRECT(ADDRESS(4,2,,,$A383)),5)</f>
        <v>#VALUE!</v>
      </c>
      <c r="F383" s="22">
        <v>1.0335000000000001</v>
      </c>
      <c r="G383" s="22">
        <f t="shared" si="76"/>
        <v>1.0325</v>
      </c>
      <c r="H383" s="7">
        <v>5</v>
      </c>
      <c r="I383" s="7">
        <v>3</v>
      </c>
      <c r="J383" s="26">
        <v>4</v>
      </c>
      <c r="K383" s="26"/>
      <c r="L383" s="26" t="s">
        <v>350</v>
      </c>
      <c r="M383" s="26" t="s">
        <v>351</v>
      </c>
      <c r="N383" s="9" t="str">
        <f>LEFT(INDEX('2026_MAYO_BMT_ALLO_UNR_PED'!$A$1:$E$30,MATCH($H383,'2026_MAYO_BMT_ALLO_UNR_PED'!$A$1:$A$30),MATCH(I383,'2026_MAYO_BMT_ALLO_UNR_PED'!$A$1:$D$1)),30)</f>
        <v>FOLLOW UP CARE - From day 1 po</v>
      </c>
      <c r="O383" s="16">
        <v>103182</v>
      </c>
      <c r="P383" s="507">
        <f t="shared" si="100"/>
        <v>106535</v>
      </c>
    </row>
    <row r="384" spans="1:17">
      <c r="A384" s="1" t="e">
        <f ca="1">'2026_MAYO_BMT_ALLO_UNR_PED'!$A$1</f>
        <v>#VALUE!</v>
      </c>
      <c r="B384" s="14" t="e">
        <f t="shared" ca="1" si="88"/>
        <v>#VALUE!</v>
      </c>
      <c r="C384" s="1" t="s">
        <v>370</v>
      </c>
      <c r="D384" s="4" t="e" cm="1">
        <f t="array" aca="1" ref="D384" ca="1">RIGHT(INDIRECT(ADDRESS(6,2,,,$A384)),6)</f>
        <v>#VALUE!</v>
      </c>
      <c r="E384" s="1" t="e" cm="1">
        <f t="array" aca="1" ref="E384" ca="1">RIGHT(INDIRECT(ADDRESS(4,2,,,$A384)),5)</f>
        <v>#VALUE!</v>
      </c>
      <c r="F384" s="22">
        <v>1.0335000000000001</v>
      </c>
      <c r="G384" s="22">
        <f t="shared" si="76"/>
        <v>1.0325</v>
      </c>
      <c r="H384" s="7">
        <v>6</v>
      </c>
      <c r="I384" s="7">
        <v>3</v>
      </c>
      <c r="J384" s="26">
        <v>4</v>
      </c>
      <c r="K384" s="26"/>
      <c r="L384" s="26" t="s">
        <v>350</v>
      </c>
      <c r="M384" s="26" t="s">
        <v>351</v>
      </c>
      <c r="N384" s="9" t="str">
        <f>LEFT(INDEX('2026_MAYO_BMT_ALLO_UNR_PED'!$A$1:$E$30,MATCH($H384,'2026_MAYO_BMT_ALLO_UNR_PED'!$A$1:$A$30),MATCH(I384,'2026_MAYO_BMT_ALLO_UNR_PED'!$A$1:$D$1)),30)</f>
        <v xml:space="preserve">FOLLOW UP CARE - From day 31  </v>
      </c>
      <c r="O384" s="16">
        <v>30801</v>
      </c>
      <c r="P384" s="507">
        <f t="shared" si="100"/>
        <v>31802</v>
      </c>
    </row>
    <row r="385" spans="1:17">
      <c r="A385" s="1" t="e">
        <f ca="1">'2026_MAYO_BMT_ALLO_UNR_PED'!$A$1</f>
        <v>#VALUE!</v>
      </c>
      <c r="B385" s="14" t="e">
        <f t="shared" ca="1" si="88"/>
        <v>#VALUE!</v>
      </c>
      <c r="C385" s="1" t="s">
        <v>370</v>
      </c>
      <c r="D385" s="4" t="e" cm="1">
        <f t="array" aca="1" ref="D385" ca="1">RIGHT(INDIRECT(ADDRESS(6,2,,,$A385)),6)</f>
        <v>#VALUE!</v>
      </c>
      <c r="E385" s="1" t="e" cm="1">
        <f t="array" aca="1" ref="E385" ca="1">RIGHT(INDIRECT(ADDRESS(4,2,,,$A385)),5)</f>
        <v>#VALUE!</v>
      </c>
      <c r="F385" s="22">
        <v>1.0335000000000001</v>
      </c>
      <c r="G385" s="22">
        <f t="shared" si="76"/>
        <v>1.0325</v>
      </c>
      <c r="H385" s="7">
        <v>7</v>
      </c>
      <c r="I385" s="7">
        <v>3</v>
      </c>
      <c r="J385" s="26">
        <v>4</v>
      </c>
      <c r="K385" s="26"/>
      <c r="L385" s="26" t="s">
        <v>350</v>
      </c>
      <c r="M385" s="26" t="s">
        <v>351</v>
      </c>
      <c r="N385" s="9" t="str">
        <f>LEFT(INDEX('2026_MAYO_BMT_ALLO_UNR_PED'!$A$1:$E$30,MATCH($H385,'2026_MAYO_BMT_ALLO_UNR_PED'!$A$1:$A$30),MATCH(I385,'2026_MAYO_BMT_ALLO_UNR_PED'!$A$1:$D$1)),30)</f>
        <v>OUTPATIENT FOLLOW UP CARE - Fr</v>
      </c>
      <c r="O385" s="16" t="s">
        <v>371</v>
      </c>
      <c r="P385" s="507" t="str">
        <f t="shared" ref="P385" si="101">O385</f>
        <v>Fee For Service rates</v>
      </c>
      <c r="Q385" s="14" t="s">
        <v>354</v>
      </c>
    </row>
    <row r="386" spans="1:17">
      <c r="A386" s="1" t="e">
        <f ca="1">'2026_MAYO_BMT_ALLO_UNR_PED'!$A$1</f>
        <v>#VALUE!</v>
      </c>
      <c r="B386" s="14" t="e">
        <f t="shared" ca="1" si="88"/>
        <v>#VALUE!</v>
      </c>
      <c r="C386" s="1" t="s">
        <v>370</v>
      </c>
      <c r="D386" s="4" t="e" cm="1">
        <f t="array" aca="1" ref="D386" ca="1">RIGHT(INDIRECT(ADDRESS(6,2,,,$A386)),6)</f>
        <v>#VALUE!</v>
      </c>
      <c r="E386" s="1" t="e" cm="1">
        <f t="array" aca="1" ref="E386" ca="1">RIGHT(INDIRECT(ADDRESS(4,2,,,$A386)),5)</f>
        <v>#VALUE!</v>
      </c>
      <c r="F386" s="22">
        <v>1.0335000000000001</v>
      </c>
      <c r="G386" s="22">
        <f t="shared" si="76"/>
        <v>1.0325</v>
      </c>
      <c r="H386" s="7">
        <v>8</v>
      </c>
      <c r="I386" s="7">
        <v>3</v>
      </c>
      <c r="J386" s="26">
        <v>4</v>
      </c>
      <c r="K386" s="26"/>
      <c r="L386" s="26" t="s">
        <v>350</v>
      </c>
      <c r="M386" s="26" t="s">
        <v>351</v>
      </c>
      <c r="N386" s="9" t="str">
        <f>LEFT(INDEX('2026_MAYO_BMT_ALLO_UNR_PED'!$A$1:$E$30,MATCH($H386,'2026_MAYO_BMT_ALLO_UNR_PED'!$A$1:$A$30),MATCH(I386,'2026_MAYO_BMT_ALLO_UNR_PED'!$A$1:$D$1)),30)</f>
        <v xml:space="preserve">PER DIEM RATES for day 61+ of </v>
      </c>
      <c r="O386" s="16">
        <v>2474</v>
      </c>
      <c r="P386" s="507">
        <f t="shared" ref="P386" si="102">ROUND(O386*$G$2,0)</f>
        <v>2554</v>
      </c>
    </row>
    <row r="387" spans="1:17">
      <c r="A387" s="1" t="e">
        <f ca="1">'2026_MAYO_BMT_ALLO_UNR_PED'!$A$1</f>
        <v>#VALUE!</v>
      </c>
      <c r="B387" s="14" t="e">
        <f t="shared" ca="1" si="88"/>
        <v>#VALUE!</v>
      </c>
      <c r="C387" s="1" t="s">
        <v>370</v>
      </c>
      <c r="D387" s="4" t="e" cm="1">
        <f t="array" aca="1" ref="D387" ca="1">RIGHT(INDIRECT(ADDRESS(6,2,,,$A387)),6)</f>
        <v>#VALUE!</v>
      </c>
      <c r="E387" s="1" t="e" cm="1">
        <f t="array" aca="1" ref="E387" ca="1">RIGHT(INDIRECT(ADDRESS(4,2,,,$A387)),5)</f>
        <v>#VALUE!</v>
      </c>
      <c r="F387" s="22">
        <v>1.0335000000000001</v>
      </c>
      <c r="G387" s="22">
        <f t="shared" si="76"/>
        <v>1.0325</v>
      </c>
      <c r="H387" s="7">
        <v>9</v>
      </c>
      <c r="I387" s="7">
        <v>3</v>
      </c>
      <c r="J387" s="26">
        <v>4</v>
      </c>
      <c r="K387" s="26"/>
      <c r="L387" s="26" t="s">
        <v>350</v>
      </c>
      <c r="M387" s="26" t="s">
        <v>351</v>
      </c>
      <c r="N387" s="9" t="str">
        <f>LEFT(INDEX('2026_MAYO_BMT_ALLO_UNR_PED'!$A$1:$E$30,MATCH($H387,'2026_MAYO_BMT_ALLO_UNR_PED'!$A$1:$A$30),MATCH(I387,'2026_MAYO_BMT_ALLO_UNR_PED'!$A$1:$D$1)),30)</f>
        <v>Days 11+/61+ paid at the per d</v>
      </c>
      <c r="O387" s="16">
        <v>7263.18</v>
      </c>
      <c r="P387" s="509">
        <f>O387*$Q$2</f>
        <v>8014.1928120000002</v>
      </c>
      <c r="Q387" s="14" t="s">
        <v>352</v>
      </c>
    </row>
    <row r="388" spans="1:17">
      <c r="A388" s="1" t="e">
        <f ca="1">'2026_MAYO_BMT_ALLO_UNR_PED'!$A$1</f>
        <v>#VALUE!</v>
      </c>
      <c r="B388" s="14" t="e">
        <f t="shared" ca="1" si="88"/>
        <v>#VALUE!</v>
      </c>
      <c r="C388" s="1" t="s">
        <v>370</v>
      </c>
      <c r="D388" s="4" t="e" cm="1">
        <f t="array" aca="1" ref="D388" ca="1">RIGHT(INDIRECT(ADDRESS(6,2,,,$A388)),6)</f>
        <v>#VALUE!</v>
      </c>
      <c r="E388" s="1" t="e" cm="1">
        <f t="array" aca="1" ref="E388" ca="1">RIGHT(INDIRECT(ADDRESS(4,2,,,$A388)),5)</f>
        <v>#VALUE!</v>
      </c>
      <c r="F388" s="22">
        <v>1.0335000000000001</v>
      </c>
      <c r="G388" s="22">
        <f t="shared" si="76"/>
        <v>1.0325</v>
      </c>
      <c r="H388" s="7">
        <v>10</v>
      </c>
      <c r="I388" s="7">
        <v>3</v>
      </c>
      <c r="J388" s="26">
        <v>4</v>
      </c>
      <c r="K388" s="26"/>
      <c r="L388" s="26" t="s">
        <v>350</v>
      </c>
      <c r="M388" s="26" t="s">
        <v>351</v>
      </c>
      <c r="N388" s="9" t="str">
        <f>LEFT(INDEX('2026_MAYO_BMT_ALLO_UNR_PED'!$A$1:$E$30,MATCH($H388,'2026_MAYO_BMT_ALLO_UNR_PED'!$A$1:$A$30),MATCH(I388,'2026_MAYO_BMT_ALLO_UNR_PED'!$A$1:$D$1)),30)</f>
        <v>Outliers:  Matched Unrelated a</v>
      </c>
      <c r="O388" s="16">
        <v>273197</v>
      </c>
      <c r="P388" s="507">
        <f t="shared" ref="P388" si="103">ROUND(O388*$G$2,0)</f>
        <v>282076</v>
      </c>
      <c r="Q388" s="14" t="s">
        <v>353</v>
      </c>
    </row>
    <row r="389" spans="1:17">
      <c r="A389" s="1" t="e">
        <f ca="1">'2026_MAYO_BMT_ALLO_UNR_PED'!$A$1</f>
        <v>#VALUE!</v>
      </c>
      <c r="B389" s="14" t="e">
        <f t="shared" ca="1" si="88"/>
        <v>#VALUE!</v>
      </c>
      <c r="C389" s="1" t="s">
        <v>370</v>
      </c>
      <c r="D389" s="4" t="e" cm="1">
        <f t="array" aca="1" ref="D389" ca="1">RIGHT(INDIRECT(ADDRESS(6,2,,,$A389)),6)</f>
        <v>#VALUE!</v>
      </c>
      <c r="E389" s="1" t="e" cm="1">
        <f t="array" aca="1" ref="E389" ca="1">RIGHT(INDIRECT(ADDRESS(4,2,,,$A389)),5)</f>
        <v>#VALUE!</v>
      </c>
      <c r="F389" s="22">
        <v>1.0335000000000001</v>
      </c>
      <c r="G389" s="22">
        <f t="shared" ref="G389:G452" si="104">$G$2</f>
        <v>1.0325</v>
      </c>
      <c r="H389" s="7">
        <v>11</v>
      </c>
      <c r="I389" s="7">
        <v>3</v>
      </c>
      <c r="J389" s="26">
        <v>4</v>
      </c>
      <c r="K389" s="26"/>
      <c r="L389" s="26" t="s">
        <v>350</v>
      </c>
      <c r="M389" s="26" t="s">
        <v>351</v>
      </c>
      <c r="N389" s="9" t="str">
        <f>LEFT(INDEX('2026_MAYO_BMT_ALLO_UNR_PED'!$A$1:$E$30,MATCH($H389,'2026_MAYO_BMT_ALLO_UNR_PED'!$A$1:$A$30),MATCH(I389,'2026_MAYO_BMT_ALLO_UNR_PED'!$A$1:$D$1)),30)</f>
        <v>Rate Above Threshold</v>
      </c>
      <c r="O389" s="16">
        <v>0.5</v>
      </c>
      <c r="P389" s="507">
        <f t="shared" ref="P389" si="105">O389</f>
        <v>0.5</v>
      </c>
      <c r="Q389" s="14" t="s">
        <v>354</v>
      </c>
    </row>
    <row r="390" spans="1:17">
      <c r="A390" s="1" t="e">
        <f ca="1">'2026_MAYO_TBI_ADULT_AND_PED'!$A$1</f>
        <v>#VALUE!</v>
      </c>
      <c r="B390" s="14" t="e">
        <f t="shared" ca="1" si="88"/>
        <v>#VALUE!</v>
      </c>
      <c r="C390" s="1" t="s">
        <v>370</v>
      </c>
      <c r="D390" s="4" t="e" cm="1">
        <f t="array" aca="1" ref="D390" ca="1">RIGHT(INDIRECT(ADDRESS(6,2,,,$A390)),6)</f>
        <v>#VALUE!</v>
      </c>
      <c r="E390" s="1" t="e" cm="1">
        <f t="array" aca="1" ref="E390" ca="1">RIGHT(INDIRECT(ADDRESS(4,2,,,$A390)),5)</f>
        <v>#VALUE!</v>
      </c>
      <c r="F390" s="22">
        <v>1.0335000000000001</v>
      </c>
      <c r="G390" s="22">
        <f t="shared" si="104"/>
        <v>1.0325</v>
      </c>
      <c r="H390" s="7">
        <v>1</v>
      </c>
      <c r="I390" s="7">
        <v>3</v>
      </c>
      <c r="J390" s="26">
        <v>4</v>
      </c>
      <c r="K390" s="26"/>
      <c r="L390" s="26" t="s">
        <v>350</v>
      </c>
      <c r="M390" s="26" t="s">
        <v>351</v>
      </c>
      <c r="N390" s="9" t="str">
        <f>LEFT(INDEX('2026_MAYO_TBI_ADULT_AND_PED'!$A$1:$E$30,MATCH($H390,'2026_MAYO_TBI_ADULT_AND_PED'!$A$1:$A$30),MATCH(I390,'2026_MAYO_TBI_ADULT_AND_PED'!$A$1:$D$1)),30)</f>
        <v xml:space="preserve">TOTAL BODY IRRADIATION (TBI)  </v>
      </c>
      <c r="O390" s="16">
        <v>7818</v>
      </c>
      <c r="P390" s="507">
        <f t="shared" ref="P390:P395" si="106">ROUND(O390*$G$2,0)</f>
        <v>8072</v>
      </c>
    </row>
    <row r="391" spans="1:17">
      <c r="A391" s="1" t="e">
        <f ca="1">'2026_MAYO_PHX_HEART'!$A$1</f>
        <v>#VALUE!</v>
      </c>
      <c r="B391" s="14" t="e">
        <f t="shared" ca="1" si="88"/>
        <v>#VALUE!</v>
      </c>
      <c r="C391" s="1" t="s">
        <v>370</v>
      </c>
      <c r="D391" s="4" t="e" cm="1">
        <f t="array" aca="1" ref="D391" ca="1">RIGHT(INDIRECT(ADDRESS(6,2,,,$A391)),6)</f>
        <v>#VALUE!</v>
      </c>
      <c r="E391" s="1" t="e" cm="1">
        <f t="array" aca="1" ref="E391" ca="1">RIGHT(INDIRECT(ADDRESS(4,2,,,$A391)),5)</f>
        <v>#VALUE!</v>
      </c>
      <c r="F391" s="22">
        <v>1.0335000000000001</v>
      </c>
      <c r="G391" s="22">
        <f t="shared" si="104"/>
        <v>1.0325</v>
      </c>
      <c r="H391" s="7">
        <v>1</v>
      </c>
      <c r="I391" s="7">
        <v>3</v>
      </c>
      <c r="J391" s="26">
        <v>4</v>
      </c>
      <c r="K391" s="26"/>
      <c r="L391" s="26" t="s">
        <v>350</v>
      </c>
      <c r="M391" s="26" t="s">
        <v>351</v>
      </c>
      <c r="N391" s="9" t="str">
        <f>LEFT(INDEX('2026_MAYO_PHX_HEART'!$A$1:$E$30,MATCH($H391,'2026_MAYO_PHX_HEART'!$A$1:$A$30),MATCH(I391,'2026_MAYO_PHX_HEART'!$A$1:$D$1)),30)</f>
        <v>OUTPATIENT EVALUATION* - Initi</v>
      </c>
      <c r="O391" s="16">
        <v>10119</v>
      </c>
      <c r="P391" s="507">
        <f t="shared" si="106"/>
        <v>10448</v>
      </c>
    </row>
    <row r="392" spans="1:17">
      <c r="A392" s="1" t="e">
        <f ca="1">'2026_MAYO_PHX_HEART'!$A$1</f>
        <v>#VALUE!</v>
      </c>
      <c r="B392" s="14" t="e">
        <f t="shared" ca="1" si="88"/>
        <v>#VALUE!</v>
      </c>
      <c r="C392" s="1" t="s">
        <v>370</v>
      </c>
      <c r="D392" s="4" t="e" cm="1">
        <f t="array" aca="1" ref="D392" ca="1">RIGHT(INDIRECT(ADDRESS(6,2,,,$A392)),6)</f>
        <v>#VALUE!</v>
      </c>
      <c r="E392" s="1" t="e" cm="1">
        <f t="array" aca="1" ref="E392" ca="1">RIGHT(INDIRECT(ADDRESS(4,2,,,$A392)),5)</f>
        <v>#VALUE!</v>
      </c>
      <c r="F392" s="22">
        <v>1.0335000000000001</v>
      </c>
      <c r="G392" s="22">
        <f t="shared" si="104"/>
        <v>1.0325</v>
      </c>
      <c r="H392" s="7">
        <v>2</v>
      </c>
      <c r="I392" s="7">
        <v>3</v>
      </c>
      <c r="J392" s="26">
        <v>4</v>
      </c>
      <c r="K392" s="26"/>
      <c r="L392" s="26" t="s">
        <v>350</v>
      </c>
      <c r="M392" s="26" t="s">
        <v>351</v>
      </c>
      <c r="N392" s="9" t="str">
        <f>LEFT(INDEX('2026_MAYO_PHX_HEART'!$A$1:$E$30,MATCH($H392,'2026_MAYO_PHX_HEART'!$A$1:$A$30),MATCH(I392,'2026_MAYO_PHX_HEART'!$A$1:$D$1)),30)</f>
        <v>PREP AND TRANSPLANT</v>
      </c>
      <c r="O392" s="16">
        <v>131078</v>
      </c>
      <c r="P392" s="507">
        <f t="shared" si="106"/>
        <v>135338</v>
      </c>
    </row>
    <row r="393" spans="1:17">
      <c r="A393" s="1" t="e">
        <f ca="1">'2026_MAYO_PHX_HEART'!$A$1</f>
        <v>#VALUE!</v>
      </c>
      <c r="B393" s="14" t="e">
        <f t="shared" ca="1" si="88"/>
        <v>#VALUE!</v>
      </c>
      <c r="C393" s="1" t="s">
        <v>370</v>
      </c>
      <c r="D393" s="4" t="e" cm="1">
        <f t="array" aca="1" ref="D393" ca="1">RIGHT(INDIRECT(ADDRESS(6,2,,,$A393)),6)</f>
        <v>#VALUE!</v>
      </c>
      <c r="E393" s="1" t="e" cm="1">
        <f t="array" aca="1" ref="E393" ca="1">RIGHT(INDIRECT(ADDRESS(4,2,,,$A393)),5)</f>
        <v>#VALUE!</v>
      </c>
      <c r="F393" s="22">
        <v>1.0335000000000001</v>
      </c>
      <c r="G393" s="22">
        <f t="shared" si="104"/>
        <v>1.0325</v>
      </c>
      <c r="H393" s="7">
        <v>3</v>
      </c>
      <c r="I393" s="7">
        <v>3</v>
      </c>
      <c r="J393" s="26">
        <v>4</v>
      </c>
      <c r="K393" s="26"/>
      <c r="L393" s="26" t="s">
        <v>350</v>
      </c>
      <c r="M393" s="26" t="s">
        <v>351</v>
      </c>
      <c r="N393" s="9" t="str">
        <f>LEFT(INDEX('2026_MAYO_PHX_HEART'!$A$1:$E$30,MATCH($H393,'2026_MAYO_PHX_HEART'!$A$1:$A$30),MATCH(I393,'2026_MAYO_PHX_HEART'!$A$1:$D$1)),30)</f>
        <v>FOLLOW UP CARE - From day 1 po</v>
      </c>
      <c r="O393" s="16">
        <v>97933</v>
      </c>
      <c r="P393" s="507">
        <f t="shared" si="106"/>
        <v>101116</v>
      </c>
    </row>
    <row r="394" spans="1:17">
      <c r="A394" s="1" t="e">
        <f ca="1">'2026_MAYO_PHX_HEART'!$A$1</f>
        <v>#VALUE!</v>
      </c>
      <c r="B394" s="14" t="e">
        <f t="shared" ca="1" si="88"/>
        <v>#VALUE!</v>
      </c>
      <c r="C394" s="1" t="s">
        <v>370</v>
      </c>
      <c r="D394" s="4" t="e" cm="1">
        <f t="array" aca="1" ref="D394" ca="1">RIGHT(INDIRECT(ADDRESS(6,2,,,$A394)),6)</f>
        <v>#VALUE!</v>
      </c>
      <c r="E394" s="1" t="e" cm="1">
        <f t="array" aca="1" ref="E394" ca="1">RIGHT(INDIRECT(ADDRESS(4,2,,,$A394)),5)</f>
        <v>#VALUE!</v>
      </c>
      <c r="F394" s="22">
        <v>1.0335000000000001</v>
      </c>
      <c r="G394" s="22">
        <f t="shared" si="104"/>
        <v>1.0325</v>
      </c>
      <c r="H394" s="7">
        <v>4</v>
      </c>
      <c r="I394" s="7">
        <v>3</v>
      </c>
      <c r="J394" s="26">
        <v>4</v>
      </c>
      <c r="K394" s="26"/>
      <c r="L394" s="26" t="s">
        <v>350</v>
      </c>
      <c r="M394" s="26" t="s">
        <v>351</v>
      </c>
      <c r="N394" s="9" t="str">
        <f>LEFT(INDEX('2026_MAYO_PHX_HEART'!$A$1:$E$30,MATCH($H394,'2026_MAYO_PHX_HEART'!$A$1:$A$30),MATCH(I394,'2026_MAYO_PHX_HEART'!$A$1:$D$1)),30)</f>
        <v xml:space="preserve">FOLLOW UP CARE - From day 31  </v>
      </c>
      <c r="O394" s="16">
        <v>39928</v>
      </c>
      <c r="P394" s="507">
        <f t="shared" si="106"/>
        <v>41226</v>
      </c>
    </row>
    <row r="395" spans="1:17">
      <c r="A395" s="1" t="e">
        <f ca="1">'2026_MAYO_PHX_HEART'!$A$1</f>
        <v>#VALUE!</v>
      </c>
      <c r="B395" s="14" t="e">
        <f t="shared" ca="1" si="88"/>
        <v>#VALUE!</v>
      </c>
      <c r="C395" s="1" t="s">
        <v>370</v>
      </c>
      <c r="D395" s="4" t="e" cm="1">
        <f t="array" aca="1" ref="D395" ca="1">RIGHT(INDIRECT(ADDRESS(6,2,,,$A395)),6)</f>
        <v>#VALUE!</v>
      </c>
      <c r="E395" s="1" t="e" cm="1">
        <f t="array" aca="1" ref="E395" ca="1">RIGHT(INDIRECT(ADDRESS(4,2,,,$A395)),5)</f>
        <v>#VALUE!</v>
      </c>
      <c r="F395" s="22">
        <v>1.0335000000000001</v>
      </c>
      <c r="G395" s="22">
        <f t="shared" si="104"/>
        <v>1.0325</v>
      </c>
      <c r="H395" s="7">
        <v>5</v>
      </c>
      <c r="I395" s="7">
        <v>3</v>
      </c>
      <c r="J395" s="26">
        <v>4</v>
      </c>
      <c r="K395" s="26"/>
      <c r="L395" s="26" t="s">
        <v>350</v>
      </c>
      <c r="M395" s="26" t="s">
        <v>351</v>
      </c>
      <c r="N395" s="9" t="str">
        <f>LEFT(INDEX('2026_MAYO_PHX_HEART'!$A$1:$E$30,MATCH($H395,'2026_MAYO_PHX_HEART'!$A$1:$A$30),MATCH(I395,'2026_MAYO_PHX_HEART'!$A$1:$D$1)),30)</f>
        <v xml:space="preserve">PER DIEM RATES for day 61+ of </v>
      </c>
      <c r="O395" s="16">
        <v>2474</v>
      </c>
      <c r="P395" s="507">
        <f t="shared" si="106"/>
        <v>2554</v>
      </c>
    </row>
    <row r="396" spans="1:17">
      <c r="A396" s="1" t="e">
        <f ca="1">'2026_MAYO_PHX_HEART'!$A$1</f>
        <v>#VALUE!</v>
      </c>
      <c r="B396" s="14" t="e">
        <f t="shared" ca="1" si="88"/>
        <v>#VALUE!</v>
      </c>
      <c r="C396" s="1" t="s">
        <v>370</v>
      </c>
      <c r="D396" s="4" t="e" cm="1">
        <f t="array" aca="1" ref="D396" ca="1">RIGHT(INDIRECT(ADDRESS(6,2,,,$A396)),6)</f>
        <v>#VALUE!</v>
      </c>
      <c r="E396" s="1" t="e" cm="1">
        <f t="array" aca="1" ref="E396" ca="1">RIGHT(INDIRECT(ADDRESS(4,2,,,$A396)),5)</f>
        <v>#VALUE!</v>
      </c>
      <c r="F396" s="22">
        <v>1.0335000000000001</v>
      </c>
      <c r="G396" s="22">
        <f t="shared" si="104"/>
        <v>1.0325</v>
      </c>
      <c r="H396" s="7">
        <v>6</v>
      </c>
      <c r="I396" s="7">
        <v>3</v>
      </c>
      <c r="J396" s="26">
        <v>4</v>
      </c>
      <c r="K396" s="26"/>
      <c r="L396" s="26" t="s">
        <v>350</v>
      </c>
      <c r="M396" s="26" t="s">
        <v>351</v>
      </c>
      <c r="N396" s="9" t="str">
        <f>LEFT(INDEX('2026_MAYO_PHX_HEART'!$A$1:$E$30,MATCH($H396,'2026_MAYO_PHX_HEART'!$A$1:$A$30),MATCH(I396,'2026_MAYO_PHX_HEART'!$A$1:$D$1)),30)</f>
        <v>Days 11+/61+ paid at the per d</v>
      </c>
      <c r="O396" s="16">
        <v>7263.18</v>
      </c>
      <c r="P396" s="509">
        <f>O396*$Q$2</f>
        <v>8014.1928120000002</v>
      </c>
      <c r="Q396" s="14" t="s">
        <v>352</v>
      </c>
    </row>
    <row r="397" spans="1:17">
      <c r="A397" s="1" t="e">
        <f ca="1">'2026_MAYO_PHX_HEART'!$A$1</f>
        <v>#VALUE!</v>
      </c>
      <c r="B397" s="14" t="e">
        <f t="shared" ca="1" si="88"/>
        <v>#VALUE!</v>
      </c>
      <c r="C397" s="1" t="s">
        <v>370</v>
      </c>
      <c r="D397" s="4" t="e" cm="1">
        <f t="array" aca="1" ref="D397" ca="1">RIGHT(INDIRECT(ADDRESS(6,2,,,$A397)),6)</f>
        <v>#VALUE!</v>
      </c>
      <c r="E397" s="1" t="e" cm="1">
        <f t="array" aca="1" ref="E397" ca="1">RIGHT(INDIRECT(ADDRESS(4,2,,,$A397)),5)</f>
        <v>#VALUE!</v>
      </c>
      <c r="F397" s="22">
        <v>1.0335000000000001</v>
      </c>
      <c r="G397" s="22">
        <f t="shared" si="104"/>
        <v>1.0325</v>
      </c>
      <c r="H397" s="7">
        <v>7</v>
      </c>
      <c r="I397" s="7">
        <v>3</v>
      </c>
      <c r="J397" s="26">
        <v>4</v>
      </c>
      <c r="K397" s="26"/>
      <c r="L397" s="26" t="s">
        <v>350</v>
      </c>
      <c r="M397" s="26" t="s">
        <v>351</v>
      </c>
      <c r="N397" s="9" t="str">
        <f>LEFT(INDEX('2026_MAYO_PHX_HEART'!$A$1:$E$30,MATCH($H397,'2026_MAYO_PHX_HEART'!$A$1:$A$30),MATCH(I397,'2026_MAYO_PHX_HEART'!$A$1:$D$1)),30)</f>
        <v>**Heart cases will be reimburs</v>
      </c>
      <c r="O397" s="16">
        <v>344467</v>
      </c>
      <c r="P397" s="507">
        <f t="shared" ref="P397" si="107">ROUND(O397*$G$2,0)</f>
        <v>355662</v>
      </c>
      <c r="Q397" s="14" t="s">
        <v>353</v>
      </c>
    </row>
    <row r="398" spans="1:17">
      <c r="A398" s="1" t="e">
        <f ca="1">'2026_MAYO_PHX_HEART'!$A$1</f>
        <v>#VALUE!</v>
      </c>
      <c r="B398" s="14" t="e">
        <f t="shared" ca="1" si="88"/>
        <v>#VALUE!</v>
      </c>
      <c r="C398" s="1" t="s">
        <v>370</v>
      </c>
      <c r="D398" s="4" t="e" cm="1">
        <f t="array" aca="1" ref="D398" ca="1">RIGHT(INDIRECT(ADDRESS(6,2,,,$A398)),6)</f>
        <v>#VALUE!</v>
      </c>
      <c r="E398" s="1" t="e" cm="1">
        <f t="array" aca="1" ref="E398" ca="1">RIGHT(INDIRECT(ADDRESS(4,2,,,$A398)),5)</f>
        <v>#VALUE!</v>
      </c>
      <c r="F398" s="22">
        <v>1.0335000000000001</v>
      </c>
      <c r="G398" s="22">
        <f t="shared" si="104"/>
        <v>1.0325</v>
      </c>
      <c r="H398" s="7">
        <v>8</v>
      </c>
      <c r="I398" s="7">
        <v>3</v>
      </c>
      <c r="J398" s="26">
        <v>4</v>
      </c>
      <c r="K398" s="26"/>
      <c r="L398" s="26" t="s">
        <v>350</v>
      </c>
      <c r="M398" s="26" t="s">
        <v>351</v>
      </c>
      <c r="N398" s="9" t="str">
        <f>LEFT(INDEX('2026_MAYO_PHX_HEART'!$A$1:$E$30,MATCH($H398,'2026_MAYO_PHX_HEART'!$A$1:$A$30),MATCH(I398,'2026_MAYO_PHX_HEART'!$A$1:$D$1)),30)</f>
        <v>Rate Above Threshold</v>
      </c>
      <c r="O398" s="16">
        <v>0.5</v>
      </c>
      <c r="P398" s="507">
        <f t="shared" ref="P398" si="108">O398</f>
        <v>0.5</v>
      </c>
      <c r="Q398" s="14" t="s">
        <v>354</v>
      </c>
    </row>
    <row r="399" spans="1:17">
      <c r="A399" s="1" t="e">
        <f ca="1">'2026_MAYO_KIDNEY_LIVING'!$A$1</f>
        <v>#VALUE!</v>
      </c>
      <c r="B399" s="14" t="e">
        <f t="shared" ca="1" si="88"/>
        <v>#VALUE!</v>
      </c>
      <c r="C399" s="1" t="s">
        <v>370</v>
      </c>
      <c r="D399" s="4" t="e" cm="1">
        <f t="array" aca="1" ref="D399" ca="1">RIGHT(INDIRECT(ADDRESS(6,2,,,$A399)),6)</f>
        <v>#VALUE!</v>
      </c>
      <c r="E399" s="1" t="e" cm="1">
        <f t="array" aca="1" ref="E399" ca="1">RIGHT(INDIRECT(ADDRESS(4,2,,,$A399)),5)</f>
        <v>#VALUE!</v>
      </c>
      <c r="F399" s="22">
        <v>1.0335000000000001</v>
      </c>
      <c r="G399" s="22">
        <f t="shared" si="104"/>
        <v>1.0325</v>
      </c>
      <c r="H399" s="7">
        <v>1</v>
      </c>
      <c r="I399" s="7">
        <v>3</v>
      </c>
      <c r="J399" s="26">
        <v>4</v>
      </c>
      <c r="K399" s="26"/>
      <c r="L399" s="26" t="s">
        <v>350</v>
      </c>
      <c r="M399" s="26" t="s">
        <v>351</v>
      </c>
      <c r="N399" s="9" t="str">
        <f>LEFT(INDEX('2026_MAYO_KIDNEY_LIVING'!$A$1:$E$30,MATCH($H399,'2026_MAYO_KIDNEY_LIVING'!$A$1:$A$30),MATCH(I399,'2026_MAYO_KIDNEY_LIVING'!$A$1:$D$1)),30)</f>
        <v>OUTPATIENT EVALUATION* - Initi</v>
      </c>
      <c r="O399" s="16">
        <v>5160</v>
      </c>
      <c r="P399" s="507">
        <f t="shared" ref="P399:P402" si="109">ROUND(O399*$G$2,0)</f>
        <v>5328</v>
      </c>
    </row>
    <row r="400" spans="1:17">
      <c r="A400" s="1" t="e">
        <f ca="1">'2026_MAYO_KIDNEY_LIVING'!$A$1</f>
        <v>#VALUE!</v>
      </c>
      <c r="B400" s="14" t="e">
        <f t="shared" ca="1" si="88"/>
        <v>#VALUE!</v>
      </c>
      <c r="C400" s="1" t="s">
        <v>370</v>
      </c>
      <c r="D400" s="4" t="e" cm="1">
        <f t="array" aca="1" ref="D400" ca="1">RIGHT(INDIRECT(ADDRESS(6,2,,,$A400)),6)</f>
        <v>#VALUE!</v>
      </c>
      <c r="E400" s="1" t="e" cm="1">
        <f t="array" aca="1" ref="E400" ca="1">RIGHT(INDIRECT(ADDRESS(4,2,,,$A400)),5)</f>
        <v>#VALUE!</v>
      </c>
      <c r="F400" s="22">
        <v>1.0335000000000001</v>
      </c>
      <c r="G400" s="22">
        <f t="shared" si="104"/>
        <v>1.0325</v>
      </c>
      <c r="H400" s="7">
        <v>2</v>
      </c>
      <c r="I400" s="7">
        <v>3</v>
      </c>
      <c r="J400" s="26">
        <v>4</v>
      </c>
      <c r="K400" s="26"/>
      <c r="L400" s="26" t="s">
        <v>350</v>
      </c>
      <c r="M400" s="26" t="s">
        <v>351</v>
      </c>
      <c r="N400" s="9" t="str">
        <f>LEFT(INDEX('2026_MAYO_KIDNEY_LIVING'!$A$1:$E$30,MATCH($H400,'2026_MAYO_KIDNEY_LIVING'!$A$1:$A$30),MATCH(I400,'2026_MAYO_KIDNEY_LIVING'!$A$1:$D$1)),30)</f>
        <v xml:space="preserve">PREP AND TRANSPLANT UP TO AND </v>
      </c>
      <c r="O400" s="16">
        <v>115353</v>
      </c>
      <c r="P400" s="507">
        <f t="shared" si="109"/>
        <v>119102</v>
      </c>
    </row>
    <row r="401" spans="1:17">
      <c r="A401" s="1" t="e">
        <f ca="1">'2026_MAYO_KIDNEY_LIVING'!$A$1</f>
        <v>#VALUE!</v>
      </c>
      <c r="B401" s="14" t="e">
        <f t="shared" ca="1" si="88"/>
        <v>#VALUE!</v>
      </c>
      <c r="C401" s="1" t="s">
        <v>370</v>
      </c>
      <c r="D401" s="4" t="e" cm="1">
        <f t="array" aca="1" ref="D401" ca="1">RIGHT(INDIRECT(ADDRESS(6,2,,,$A401)),6)</f>
        <v>#VALUE!</v>
      </c>
      <c r="E401" s="1" t="e" cm="1">
        <f t="array" aca="1" ref="E401" ca="1">RIGHT(INDIRECT(ADDRESS(4,2,,,$A401)),5)</f>
        <v>#VALUE!</v>
      </c>
      <c r="F401" s="22">
        <v>1.0335000000000001</v>
      </c>
      <c r="G401" s="22">
        <f t="shared" si="104"/>
        <v>1.0325</v>
      </c>
      <c r="H401" s="7">
        <v>3</v>
      </c>
      <c r="I401" s="7">
        <v>3</v>
      </c>
      <c r="J401" s="26">
        <v>4</v>
      </c>
      <c r="K401" s="26"/>
      <c r="L401" s="26" t="s">
        <v>350</v>
      </c>
      <c r="M401" s="26" t="s">
        <v>351</v>
      </c>
      <c r="N401" s="9" t="str">
        <f>LEFT(INDEX('2026_MAYO_KIDNEY_LIVING'!$A$1:$E$30,MATCH($H401,'2026_MAYO_KIDNEY_LIVING'!$A$1:$A$30),MATCH(I401,'2026_MAYO_KIDNEY_LIVING'!$A$1:$D$1)),30)</f>
        <v>LIVING DONOR SURGERY AND INPAT</v>
      </c>
      <c r="O401" s="16">
        <v>21999</v>
      </c>
      <c r="P401" s="507">
        <f t="shared" si="109"/>
        <v>22714</v>
      </c>
    </row>
    <row r="402" spans="1:17">
      <c r="A402" s="1" t="e">
        <f ca="1">'2026_MAYO_KIDNEY_LIVING'!$A$1</f>
        <v>#VALUE!</v>
      </c>
      <c r="B402" s="14" t="e">
        <f t="shared" ca="1" si="88"/>
        <v>#VALUE!</v>
      </c>
      <c r="C402" s="1" t="s">
        <v>370</v>
      </c>
      <c r="D402" s="4" t="e" cm="1">
        <f t="array" aca="1" ref="D402" ca="1">RIGHT(INDIRECT(ADDRESS(6,2,,,$A402)),6)</f>
        <v>#VALUE!</v>
      </c>
      <c r="E402" s="1" t="e" cm="1">
        <f t="array" aca="1" ref="E402" ca="1">RIGHT(INDIRECT(ADDRESS(4,2,,,$A402)),5)</f>
        <v>#VALUE!</v>
      </c>
      <c r="F402" s="22">
        <v>1.0335000000000001</v>
      </c>
      <c r="G402" s="22">
        <f t="shared" si="104"/>
        <v>1.0325</v>
      </c>
      <c r="H402" s="7">
        <v>4</v>
      </c>
      <c r="I402" s="7">
        <v>3</v>
      </c>
      <c r="J402" s="26">
        <v>4</v>
      </c>
      <c r="K402" s="26"/>
      <c r="L402" s="26" t="s">
        <v>350</v>
      </c>
      <c r="M402" s="26" t="s">
        <v>351</v>
      </c>
      <c r="N402" s="9" t="str">
        <f>LEFT(INDEX('2026_MAYO_KIDNEY_LIVING'!$A$1:$E$30,MATCH($H402,'2026_MAYO_KIDNEY_LIVING'!$A$1:$A$30),MATCH(I402,'2026_MAYO_KIDNEY_LIVING'!$A$1:$D$1)),30)</f>
        <v xml:space="preserve">PER DIEM RATES for day 11+ of </v>
      </c>
      <c r="O402" s="16">
        <v>2474</v>
      </c>
      <c r="P402" s="507">
        <f t="shared" si="109"/>
        <v>2554</v>
      </c>
    </row>
    <row r="403" spans="1:17">
      <c r="A403" s="1" t="e">
        <f ca="1">'2026_MAYO_KIDNEY_LIVING'!$A$1</f>
        <v>#VALUE!</v>
      </c>
      <c r="B403" s="14" t="e">
        <f t="shared" ca="1" si="88"/>
        <v>#VALUE!</v>
      </c>
      <c r="C403" s="1" t="s">
        <v>370</v>
      </c>
      <c r="D403" s="4" t="e" cm="1">
        <f t="array" aca="1" ref="D403" ca="1">RIGHT(INDIRECT(ADDRESS(6,2,,,$A403)),6)</f>
        <v>#VALUE!</v>
      </c>
      <c r="E403" s="1" t="e" cm="1">
        <f t="array" aca="1" ref="E403" ca="1">RIGHT(INDIRECT(ADDRESS(4,2,,,$A403)),5)</f>
        <v>#VALUE!</v>
      </c>
      <c r="F403" s="22">
        <v>1.0335000000000001</v>
      </c>
      <c r="G403" s="22">
        <f t="shared" si="104"/>
        <v>1.0325</v>
      </c>
      <c r="H403" s="7">
        <v>5</v>
      </c>
      <c r="I403" s="7">
        <v>3</v>
      </c>
      <c r="J403" s="26">
        <v>4</v>
      </c>
      <c r="K403" s="26"/>
      <c r="L403" s="26" t="s">
        <v>350</v>
      </c>
      <c r="M403" s="26" t="s">
        <v>351</v>
      </c>
      <c r="N403" s="9" t="str">
        <f>LEFT(INDEX('2026_MAYO_KIDNEY_LIVING'!$A$1:$E$30,MATCH($H403,'2026_MAYO_KIDNEY_LIVING'!$A$1:$A$30),MATCH(I403,'2026_MAYO_KIDNEY_LIVING'!$A$1:$D$1)),30)</f>
        <v>Days 11+/61+ paid at the per d</v>
      </c>
      <c r="O403" s="16">
        <v>7263.18</v>
      </c>
      <c r="P403" s="509">
        <f>O403*$Q$2</f>
        <v>8014.1928120000002</v>
      </c>
      <c r="Q403" s="14" t="s">
        <v>352</v>
      </c>
    </row>
    <row r="404" spans="1:17">
      <c r="A404" s="1" t="e">
        <f ca="1">'2026_MAYO_KIDNEY_CADAVERIC'!$A$1</f>
        <v>#VALUE!</v>
      </c>
      <c r="B404" s="14" t="e">
        <f t="shared" ca="1" si="88"/>
        <v>#VALUE!</v>
      </c>
      <c r="C404" s="1" t="s">
        <v>370</v>
      </c>
      <c r="D404" s="4" t="e" cm="1">
        <f t="array" aca="1" ref="D404" ca="1">RIGHT(INDIRECT(ADDRESS(6,2,,,$A404)),6)</f>
        <v>#VALUE!</v>
      </c>
      <c r="E404" s="1" t="e" cm="1">
        <f t="array" aca="1" ref="E404" ca="1">RIGHT(INDIRECT(ADDRESS(4,2,,,$A404)),5)</f>
        <v>#VALUE!</v>
      </c>
      <c r="F404" s="22">
        <v>1.0335000000000001</v>
      </c>
      <c r="G404" s="22">
        <f t="shared" si="104"/>
        <v>1.0325</v>
      </c>
      <c r="H404" s="7">
        <v>1</v>
      </c>
      <c r="I404" s="7">
        <v>3</v>
      </c>
      <c r="J404" s="26">
        <v>4</v>
      </c>
      <c r="K404" s="26"/>
      <c r="L404" s="26" t="s">
        <v>350</v>
      </c>
      <c r="M404" s="26" t="s">
        <v>351</v>
      </c>
      <c r="N404" s="9" t="str">
        <f>LEFT(INDEX('2026_MAYO_KIDNEY_CADAVERIC'!$A$1:$E$30,MATCH($H404,'2026_MAYO_KIDNEY_CADAVERIC'!$A$1:$A$30),MATCH(I404,'2026_MAYO_KIDNEY_CADAVERIC'!$A$1:$D$1)),30)</f>
        <v>OUTPATIENT EVALUATION* - Initi</v>
      </c>
      <c r="O404" s="16">
        <v>5160</v>
      </c>
      <c r="P404" s="507">
        <f t="shared" ref="P404:P406" si="110">ROUND(O404*$G$2,0)</f>
        <v>5328</v>
      </c>
    </row>
    <row r="405" spans="1:17">
      <c r="A405" s="1" t="e">
        <f ca="1">'2026_MAYO_KIDNEY_CADAVERIC'!$A$1</f>
        <v>#VALUE!</v>
      </c>
      <c r="B405" s="14" t="e">
        <f t="shared" ca="1" si="88"/>
        <v>#VALUE!</v>
      </c>
      <c r="C405" s="1" t="s">
        <v>370</v>
      </c>
      <c r="D405" s="4" t="e" cm="1">
        <f t="array" aca="1" ref="D405" ca="1">RIGHT(INDIRECT(ADDRESS(6,2,,,$A405)),6)</f>
        <v>#VALUE!</v>
      </c>
      <c r="E405" s="1" t="e" cm="1">
        <f t="array" aca="1" ref="E405" ca="1">RIGHT(INDIRECT(ADDRESS(4,2,,,$A405)),5)</f>
        <v>#VALUE!</v>
      </c>
      <c r="F405" s="22">
        <v>1.0335000000000001</v>
      </c>
      <c r="G405" s="22">
        <f t="shared" si="104"/>
        <v>1.0325</v>
      </c>
      <c r="H405" s="7">
        <v>2</v>
      </c>
      <c r="I405" s="7">
        <v>3</v>
      </c>
      <c r="J405" s="26">
        <v>4</v>
      </c>
      <c r="K405" s="26"/>
      <c r="L405" s="26" t="s">
        <v>350</v>
      </c>
      <c r="M405" s="26" t="s">
        <v>351</v>
      </c>
      <c r="N405" s="9" t="str">
        <f>LEFT(INDEX('2026_MAYO_KIDNEY_CADAVERIC'!$A$1:$E$30,MATCH($H405,'2026_MAYO_KIDNEY_CADAVERIC'!$A$1:$A$30),MATCH(I405,'2026_MAYO_KIDNEY_CADAVERIC'!$A$1:$D$1)),30)</f>
        <v xml:space="preserve">PREP AND TRANSPLANT UP TO AND </v>
      </c>
      <c r="O405" s="16">
        <v>115353</v>
      </c>
      <c r="P405" s="507">
        <f t="shared" si="110"/>
        <v>119102</v>
      </c>
    </row>
    <row r="406" spans="1:17">
      <c r="A406" s="1" t="e">
        <f ca="1">'2026_MAYO_KIDNEY_CADAVERIC'!$A$1</f>
        <v>#VALUE!</v>
      </c>
      <c r="B406" s="14" t="e">
        <f t="shared" ca="1" si="88"/>
        <v>#VALUE!</v>
      </c>
      <c r="C406" s="1" t="s">
        <v>370</v>
      </c>
      <c r="D406" s="4" t="e" cm="1">
        <f t="array" aca="1" ref="D406" ca="1">RIGHT(INDIRECT(ADDRESS(6,2,,,$A406)),6)</f>
        <v>#VALUE!</v>
      </c>
      <c r="E406" s="1" t="e" cm="1">
        <f t="array" aca="1" ref="E406" ca="1">RIGHT(INDIRECT(ADDRESS(4,2,,,$A406)),5)</f>
        <v>#VALUE!</v>
      </c>
      <c r="F406" s="22">
        <v>1.0335000000000001</v>
      </c>
      <c r="G406" s="22">
        <f t="shared" si="104"/>
        <v>1.0325</v>
      </c>
      <c r="H406" s="7">
        <v>3</v>
      </c>
      <c r="I406" s="7">
        <v>3</v>
      </c>
      <c r="J406" s="26">
        <v>4</v>
      </c>
      <c r="K406" s="26"/>
      <c r="L406" s="26" t="s">
        <v>350</v>
      </c>
      <c r="M406" s="26" t="s">
        <v>351</v>
      </c>
      <c r="N406" s="9" t="str">
        <f>LEFT(INDEX('2026_MAYO_KIDNEY_CADAVERIC'!$A$1:$E$30,MATCH($H406,'2026_MAYO_KIDNEY_CADAVERIC'!$A$1:$A$30),MATCH(I406,'2026_MAYO_KIDNEY_CADAVERIC'!$A$1:$D$1)),30)</f>
        <v xml:space="preserve">PER DIEM RATES for day 11+ of </v>
      </c>
      <c r="O406" s="16">
        <v>2474</v>
      </c>
      <c r="P406" s="507">
        <f t="shared" si="110"/>
        <v>2554</v>
      </c>
    </row>
    <row r="407" spans="1:17">
      <c r="A407" s="1" t="e">
        <f ca="1">'2026_MAYO_KIDNEY_CADAVERIC'!$A$1</f>
        <v>#VALUE!</v>
      </c>
      <c r="B407" s="14" t="e">
        <f t="shared" ca="1" si="88"/>
        <v>#VALUE!</v>
      </c>
      <c r="C407" s="1" t="s">
        <v>370</v>
      </c>
      <c r="D407" s="4" t="e" cm="1">
        <f t="array" aca="1" ref="D407" ca="1">RIGHT(INDIRECT(ADDRESS(6,2,,,$A407)),6)</f>
        <v>#VALUE!</v>
      </c>
      <c r="E407" s="1" t="e" cm="1">
        <f t="array" aca="1" ref="E407" ca="1">RIGHT(INDIRECT(ADDRESS(4,2,,,$A407)),5)</f>
        <v>#VALUE!</v>
      </c>
      <c r="F407" s="22">
        <v>1.0335000000000001</v>
      </c>
      <c r="G407" s="22">
        <f t="shared" si="104"/>
        <v>1.0325</v>
      </c>
      <c r="H407" s="7">
        <v>4</v>
      </c>
      <c r="I407" s="7">
        <v>3</v>
      </c>
      <c r="J407" s="26">
        <v>4</v>
      </c>
      <c r="K407" s="26"/>
      <c r="L407" s="26" t="s">
        <v>350</v>
      </c>
      <c r="M407" s="26" t="s">
        <v>351</v>
      </c>
      <c r="N407" s="9" t="str">
        <f>LEFT(INDEX('2026_MAYO_KIDNEY_CADAVERIC'!$A$1:$E$30,MATCH($H407,'2026_MAYO_KIDNEY_CADAVERIC'!$A$1:$A$30),MATCH(I407,'2026_MAYO_KIDNEY_CADAVERIC'!$A$1:$D$1)),30)</f>
        <v>Days 11+/61+ paid at the per d</v>
      </c>
      <c r="O407" s="16">
        <v>7263.18</v>
      </c>
      <c r="P407" s="509">
        <f>O407*$Q$2</f>
        <v>8014.1928120000002</v>
      </c>
      <c r="Q407" s="14" t="s">
        <v>352</v>
      </c>
    </row>
    <row r="408" spans="1:17">
      <c r="A408" s="1" t="e">
        <f ca="1">'2026_MAYO_CAD_LIVER_ADULT'!$A$1</f>
        <v>#VALUE!</v>
      </c>
      <c r="B408" s="14" t="e">
        <f t="shared" ca="1" si="88"/>
        <v>#VALUE!</v>
      </c>
      <c r="C408" s="1" t="s">
        <v>370</v>
      </c>
      <c r="D408" s="4" t="e" cm="1">
        <f t="array" aca="1" ref="D408" ca="1">RIGHT(INDIRECT(ADDRESS(6,2,,,$A408)),6)</f>
        <v>#VALUE!</v>
      </c>
      <c r="E408" s="1" t="e" cm="1">
        <f t="array" aca="1" ref="E408" ca="1">RIGHT(INDIRECT(ADDRESS(4,2,,,$A408)),5)</f>
        <v>#VALUE!</v>
      </c>
      <c r="F408" s="22">
        <v>1.0335000000000001</v>
      </c>
      <c r="G408" s="22">
        <f t="shared" si="104"/>
        <v>1.0325</v>
      </c>
      <c r="H408" s="7">
        <v>1</v>
      </c>
      <c r="I408" s="7">
        <v>3</v>
      </c>
      <c r="J408" s="26">
        <v>4</v>
      </c>
      <c r="K408" s="26"/>
      <c r="L408" s="26" t="s">
        <v>350</v>
      </c>
      <c r="M408" s="26" t="s">
        <v>351</v>
      </c>
      <c r="N408" s="9" t="str">
        <f>LEFT(INDEX('2026_MAYO_CAD_LIVER_ADULT'!$A$1:$E$30,MATCH($H408,'2026_MAYO_CAD_LIVER_ADULT'!$A$1:$A$30),MATCH(I408,'2026_MAYO_CAD_LIVER_ADULT'!$A$1:$D$1)),30)</f>
        <v>OUTPATIENT EVALUATION* - Initi</v>
      </c>
      <c r="O408" s="16">
        <v>7765</v>
      </c>
      <c r="P408" s="507">
        <f t="shared" ref="P408:P412" si="111">ROUND(O408*$G$2,0)</f>
        <v>8017</v>
      </c>
    </row>
    <row r="409" spans="1:17">
      <c r="A409" s="1" t="e">
        <f ca="1">'2026_MAYO_CAD_LIVER_ADULT'!$A$1</f>
        <v>#VALUE!</v>
      </c>
      <c r="B409" s="14" t="e">
        <f t="shared" ca="1" si="88"/>
        <v>#VALUE!</v>
      </c>
      <c r="C409" s="1" t="s">
        <v>370</v>
      </c>
      <c r="D409" s="4" t="e" cm="1">
        <f t="array" aca="1" ref="D409" ca="1">RIGHT(INDIRECT(ADDRESS(6,2,,,$A409)),6)</f>
        <v>#VALUE!</v>
      </c>
      <c r="E409" s="1" t="e" cm="1">
        <f t="array" aca="1" ref="E409" ca="1">RIGHT(INDIRECT(ADDRESS(4,2,,,$A409)),5)</f>
        <v>#VALUE!</v>
      </c>
      <c r="F409" s="22">
        <v>1.0335000000000001</v>
      </c>
      <c r="G409" s="22">
        <f t="shared" si="104"/>
        <v>1.0325</v>
      </c>
      <c r="H409" s="7">
        <v>2</v>
      </c>
      <c r="I409" s="7">
        <v>3</v>
      </c>
      <c r="J409" s="26">
        <v>4</v>
      </c>
      <c r="K409" s="26"/>
      <c r="L409" s="26" t="s">
        <v>350</v>
      </c>
      <c r="M409" s="26" t="s">
        <v>351</v>
      </c>
      <c r="N409" s="9" t="str">
        <f>LEFT(INDEX('2026_MAYO_CAD_LIVER_ADULT'!$A$1:$E$30,MATCH($H409,'2026_MAYO_CAD_LIVER_ADULT'!$A$1:$A$30),MATCH(I409,'2026_MAYO_CAD_LIVER_ADULT'!$A$1:$D$1)),30)</f>
        <v>PREP AND TRANSPLANT</v>
      </c>
      <c r="O409" s="16">
        <v>159930</v>
      </c>
      <c r="P409" s="507">
        <f t="shared" si="111"/>
        <v>165128</v>
      </c>
    </row>
    <row r="410" spans="1:17">
      <c r="A410" s="1" t="e">
        <f ca="1">'2026_MAYO_CAD_LIVER_ADULT'!$A$1</f>
        <v>#VALUE!</v>
      </c>
      <c r="B410" s="14" t="e">
        <f t="shared" ca="1" si="88"/>
        <v>#VALUE!</v>
      </c>
      <c r="C410" s="1" t="s">
        <v>370</v>
      </c>
      <c r="D410" s="4" t="e" cm="1">
        <f t="array" aca="1" ref="D410" ca="1">RIGHT(INDIRECT(ADDRESS(6,2,,,$A410)),6)</f>
        <v>#VALUE!</v>
      </c>
      <c r="E410" s="1" t="e" cm="1">
        <f t="array" aca="1" ref="E410" ca="1">RIGHT(INDIRECT(ADDRESS(4,2,,,$A410)),5)</f>
        <v>#VALUE!</v>
      </c>
      <c r="F410" s="22">
        <v>1.0335000000000001</v>
      </c>
      <c r="G410" s="22">
        <f t="shared" si="104"/>
        <v>1.0325</v>
      </c>
      <c r="H410" s="7">
        <v>3</v>
      </c>
      <c r="I410" s="7">
        <v>3</v>
      </c>
      <c r="J410" s="26">
        <v>4</v>
      </c>
      <c r="K410" s="26"/>
      <c r="L410" s="26" t="s">
        <v>350</v>
      </c>
      <c r="M410" s="26" t="s">
        <v>351</v>
      </c>
      <c r="N410" s="9" t="str">
        <f>LEFT(INDEX('2026_MAYO_CAD_LIVER_ADULT'!$A$1:$E$30,MATCH($H410,'2026_MAYO_CAD_LIVER_ADULT'!$A$1:$A$30),MATCH(I410,'2026_MAYO_CAD_LIVER_ADULT'!$A$1:$D$1)),30)</f>
        <v>FOLLOW UP CARE - From day 1 po</v>
      </c>
      <c r="O410" s="16">
        <v>117813</v>
      </c>
      <c r="P410" s="507">
        <f t="shared" si="111"/>
        <v>121642</v>
      </c>
    </row>
    <row r="411" spans="1:17">
      <c r="A411" s="1" t="e">
        <f ca="1">'2026_MAYO_CAD_LIVER_ADULT'!$A$1</f>
        <v>#VALUE!</v>
      </c>
      <c r="B411" s="14" t="e">
        <f t="shared" ca="1" si="88"/>
        <v>#VALUE!</v>
      </c>
      <c r="C411" s="1" t="s">
        <v>370</v>
      </c>
      <c r="D411" s="4" t="e" cm="1">
        <f t="array" aca="1" ref="D411" ca="1">RIGHT(INDIRECT(ADDRESS(6,2,,,$A411)),6)</f>
        <v>#VALUE!</v>
      </c>
      <c r="E411" s="1" t="e" cm="1">
        <f t="array" aca="1" ref="E411" ca="1">RIGHT(INDIRECT(ADDRESS(4,2,,,$A411)),5)</f>
        <v>#VALUE!</v>
      </c>
      <c r="F411" s="22">
        <v>1.0335000000000001</v>
      </c>
      <c r="G411" s="22">
        <f t="shared" si="104"/>
        <v>1.0325</v>
      </c>
      <c r="H411" s="7">
        <v>4</v>
      </c>
      <c r="I411" s="7">
        <v>3</v>
      </c>
      <c r="J411" s="26">
        <v>4</v>
      </c>
      <c r="K411" s="26"/>
      <c r="L411" s="26" t="s">
        <v>350</v>
      </c>
      <c r="M411" s="26" t="s">
        <v>351</v>
      </c>
      <c r="N411" s="9" t="str">
        <f>LEFT(INDEX('2026_MAYO_CAD_LIVER_ADULT'!$A$1:$E$30,MATCH($H411,'2026_MAYO_CAD_LIVER_ADULT'!$A$1:$A$30),MATCH(I411,'2026_MAYO_CAD_LIVER_ADULT'!$A$1:$D$1)),30)</f>
        <v xml:space="preserve">FOLLOW UP CARE - From day 31  </v>
      </c>
      <c r="O411" s="16">
        <v>40651</v>
      </c>
      <c r="P411" s="507">
        <f t="shared" si="111"/>
        <v>41972</v>
      </c>
    </row>
    <row r="412" spans="1:17">
      <c r="A412" s="1" t="e">
        <f ca="1">'2026_MAYO_CAD_LIVER_ADULT'!$A$1</f>
        <v>#VALUE!</v>
      </c>
      <c r="B412" s="14" t="e">
        <f t="shared" ca="1" si="88"/>
        <v>#VALUE!</v>
      </c>
      <c r="C412" s="1" t="s">
        <v>370</v>
      </c>
      <c r="D412" s="4" t="e" cm="1">
        <f t="array" aca="1" ref="D412" ca="1">RIGHT(INDIRECT(ADDRESS(6,2,,,$A412)),6)</f>
        <v>#VALUE!</v>
      </c>
      <c r="E412" s="1" t="e" cm="1">
        <f t="array" aca="1" ref="E412" ca="1">RIGHT(INDIRECT(ADDRESS(4,2,,,$A412)),5)</f>
        <v>#VALUE!</v>
      </c>
      <c r="F412" s="22">
        <v>1.0335000000000001</v>
      </c>
      <c r="G412" s="22">
        <f t="shared" si="104"/>
        <v>1.0325</v>
      </c>
      <c r="H412" s="7">
        <v>5</v>
      </c>
      <c r="I412" s="7">
        <v>3</v>
      </c>
      <c r="J412" s="26">
        <v>4</v>
      </c>
      <c r="K412" s="26"/>
      <c r="L412" s="26" t="s">
        <v>350</v>
      </c>
      <c r="M412" s="26" t="s">
        <v>351</v>
      </c>
      <c r="N412" s="9" t="str">
        <f>LEFT(INDEX('2026_MAYO_CAD_LIVER_ADULT'!$A$1:$E$30,MATCH($H412,'2026_MAYO_CAD_LIVER_ADULT'!$A$1:$A$30),MATCH(I412,'2026_MAYO_CAD_LIVER_ADULT'!$A$1:$D$1)),30)</f>
        <v xml:space="preserve">PER DIEM RATES for day 61+ of </v>
      </c>
      <c r="O412" s="16">
        <v>2474</v>
      </c>
      <c r="P412" s="507">
        <f t="shared" si="111"/>
        <v>2554</v>
      </c>
    </row>
    <row r="413" spans="1:17">
      <c r="A413" s="1" t="e">
        <f ca="1">'2026_MAYO_CAD_LIVER_ADULT'!$A$1</f>
        <v>#VALUE!</v>
      </c>
      <c r="B413" s="14" t="e">
        <f t="shared" ca="1" si="88"/>
        <v>#VALUE!</v>
      </c>
      <c r="C413" s="1" t="s">
        <v>370</v>
      </c>
      <c r="D413" s="4" t="e" cm="1">
        <f t="array" aca="1" ref="D413" ca="1">RIGHT(INDIRECT(ADDRESS(6,2,,,$A413)),6)</f>
        <v>#VALUE!</v>
      </c>
      <c r="E413" s="1" t="e" cm="1">
        <f t="array" aca="1" ref="E413" ca="1">RIGHT(INDIRECT(ADDRESS(4,2,,,$A413)),5)</f>
        <v>#VALUE!</v>
      </c>
      <c r="F413" s="22">
        <v>1.0335000000000001</v>
      </c>
      <c r="G413" s="22">
        <f t="shared" si="104"/>
        <v>1.0325</v>
      </c>
      <c r="H413" s="7">
        <v>6</v>
      </c>
      <c r="I413" s="7">
        <v>3</v>
      </c>
      <c r="J413" s="26">
        <v>4</v>
      </c>
      <c r="K413" s="26"/>
      <c r="L413" s="26" t="s">
        <v>350</v>
      </c>
      <c r="M413" s="26" t="s">
        <v>351</v>
      </c>
      <c r="N413" s="9" t="str">
        <f>LEFT(INDEX('2026_MAYO_CAD_LIVER_ADULT'!$A$1:$E$30,MATCH($H413,'2026_MAYO_CAD_LIVER_ADULT'!$A$1:$A$30),MATCH(I413,'2026_MAYO_CAD_LIVER_ADULT'!$A$1:$D$1)),30)</f>
        <v>Days 11+/61+ paid at the per d</v>
      </c>
      <c r="O413" s="16">
        <v>7263.18</v>
      </c>
      <c r="P413" s="509">
        <f>O413*$Q$2</f>
        <v>8014.1928120000002</v>
      </c>
      <c r="Q413" s="14" t="s">
        <v>352</v>
      </c>
    </row>
    <row r="414" spans="1:17">
      <c r="A414" s="1" t="e">
        <f ca="1">'2026_MAYO_SIMU_CADV_LIV_KDY'!$A$1</f>
        <v>#VALUE!</v>
      </c>
      <c r="B414" s="14" t="e">
        <f t="shared" ca="1" si="88"/>
        <v>#VALUE!</v>
      </c>
      <c r="C414" s="1" t="s">
        <v>370</v>
      </c>
      <c r="D414" s="5" t="e" cm="1">
        <f t="array" aca="1" ref="D414" ca="1">RIGHT(INDIRECT(ADDRESS(7,2,,,$A414)),6)</f>
        <v>#VALUE!</v>
      </c>
      <c r="E414" s="6" t="e" cm="1">
        <f t="array" aca="1" ref="E414" ca="1">RIGHT(INDIRECT(ADDRESS(5,2,,,$A414)),5)</f>
        <v>#VALUE!</v>
      </c>
      <c r="F414" s="22">
        <v>1.0335000000000001</v>
      </c>
      <c r="G414" s="22">
        <f t="shared" si="104"/>
        <v>1.0325</v>
      </c>
      <c r="H414" s="7">
        <v>1</v>
      </c>
      <c r="I414" s="7">
        <v>3</v>
      </c>
      <c r="J414" s="26">
        <v>4</v>
      </c>
      <c r="K414" s="26"/>
      <c r="L414" s="26" t="s">
        <v>350</v>
      </c>
      <c r="M414" s="26" t="s">
        <v>351</v>
      </c>
      <c r="N414" s="9" t="str">
        <f>LEFT(INDEX('2026_MAYO_SIMU_CADV_LIV_KDY'!$A$1:$E$30,MATCH($H414,'2026_MAYO_SIMU_CADV_LIV_KDY'!$A$1:$A$30),MATCH(I414,'2026_MAYO_SIMU_CADV_LIV_KDY'!$A$1:$D$1)),30)</f>
        <v>OUTPATIENT EVALUATION* - Initi</v>
      </c>
      <c r="O414" s="16">
        <v>8011</v>
      </c>
      <c r="P414" s="507">
        <f t="shared" ref="P414:P418" si="112">ROUND(O414*$G$2,0)</f>
        <v>8271</v>
      </c>
    </row>
    <row r="415" spans="1:17">
      <c r="A415" s="1" t="e">
        <f ca="1">'2026_MAYO_SIMU_CADV_LIV_KDY'!$A$1</f>
        <v>#VALUE!</v>
      </c>
      <c r="B415" s="14" t="e">
        <f t="shared" ca="1" si="88"/>
        <v>#VALUE!</v>
      </c>
      <c r="C415" s="1" t="s">
        <v>370</v>
      </c>
      <c r="D415" s="5" t="e" cm="1">
        <f t="array" aca="1" ref="D415" ca="1">RIGHT(INDIRECT(ADDRESS(7,2,,,$A415)),6)</f>
        <v>#VALUE!</v>
      </c>
      <c r="E415" s="6" t="e" cm="1">
        <f t="array" aca="1" ref="E415" ca="1">RIGHT(INDIRECT(ADDRESS(5,2,,,$A415)),5)</f>
        <v>#VALUE!</v>
      </c>
      <c r="F415" s="22">
        <v>1.0335000000000001</v>
      </c>
      <c r="G415" s="22">
        <f t="shared" si="104"/>
        <v>1.0325</v>
      </c>
      <c r="H415" s="7">
        <v>2</v>
      </c>
      <c r="I415" s="7">
        <v>3</v>
      </c>
      <c r="J415" s="26">
        <v>4</v>
      </c>
      <c r="K415" s="26"/>
      <c r="L415" s="26" t="s">
        <v>350</v>
      </c>
      <c r="M415" s="26" t="s">
        <v>351</v>
      </c>
      <c r="N415" s="9" t="str">
        <f>LEFT(INDEX('2026_MAYO_SIMU_CADV_LIV_KDY'!$A$1:$E$30,MATCH($H415,'2026_MAYO_SIMU_CADV_LIV_KDY'!$A$1:$A$30),MATCH(I415,'2026_MAYO_SIMU_CADV_LIV_KDY'!$A$1:$D$1)),30)</f>
        <v>PREP AND TRANSPLANT</v>
      </c>
      <c r="O415" s="16">
        <v>217604</v>
      </c>
      <c r="P415" s="507">
        <f t="shared" si="112"/>
        <v>224676</v>
      </c>
    </row>
    <row r="416" spans="1:17">
      <c r="A416" s="1" t="e">
        <f ca="1">'2026_MAYO_SIMU_CADV_LIV_KDY'!$A$1</f>
        <v>#VALUE!</v>
      </c>
      <c r="B416" s="14" t="e">
        <f t="shared" ca="1" si="88"/>
        <v>#VALUE!</v>
      </c>
      <c r="C416" s="1" t="s">
        <v>370</v>
      </c>
      <c r="D416" s="5" t="e" cm="1">
        <f t="array" aca="1" ref="D416" ca="1">RIGHT(INDIRECT(ADDRESS(7,2,,,$A416)),6)</f>
        <v>#VALUE!</v>
      </c>
      <c r="E416" s="6" t="e" cm="1">
        <f t="array" aca="1" ref="E416" ca="1">RIGHT(INDIRECT(ADDRESS(5,2,,,$A416)),5)</f>
        <v>#VALUE!</v>
      </c>
      <c r="F416" s="22">
        <v>1.0335000000000001</v>
      </c>
      <c r="G416" s="22">
        <f t="shared" si="104"/>
        <v>1.0325</v>
      </c>
      <c r="H416" s="7">
        <v>3</v>
      </c>
      <c r="I416" s="7">
        <v>3</v>
      </c>
      <c r="J416" s="26">
        <v>4</v>
      </c>
      <c r="K416" s="26"/>
      <c r="L416" s="26" t="s">
        <v>350</v>
      </c>
      <c r="M416" s="26" t="s">
        <v>351</v>
      </c>
      <c r="N416" s="9" t="str">
        <f>LEFT(INDEX('2026_MAYO_SIMU_CADV_LIV_KDY'!$A$1:$E$30,MATCH($H416,'2026_MAYO_SIMU_CADV_LIV_KDY'!$A$1:$A$30),MATCH(I416,'2026_MAYO_SIMU_CADV_LIV_KDY'!$A$1:$D$1)),30)</f>
        <v>FOLLOW UP CARE - From day 1 po</v>
      </c>
      <c r="O416" s="16">
        <v>117813</v>
      </c>
      <c r="P416" s="507">
        <f t="shared" si="112"/>
        <v>121642</v>
      </c>
    </row>
    <row r="417" spans="1:17">
      <c r="A417" s="1" t="e">
        <f ca="1">'2026_MAYO_SIMU_CADV_LIV_KDY'!$A$1</f>
        <v>#VALUE!</v>
      </c>
      <c r="B417" s="14" t="e">
        <f t="shared" ref="B417:B480" ca="1" si="113">IF(A417=A416,0,1)</f>
        <v>#VALUE!</v>
      </c>
      <c r="C417" s="1" t="s">
        <v>370</v>
      </c>
      <c r="D417" s="5" t="e" cm="1">
        <f t="array" aca="1" ref="D417" ca="1">RIGHT(INDIRECT(ADDRESS(7,2,,,$A417)),6)</f>
        <v>#VALUE!</v>
      </c>
      <c r="E417" s="6" t="e" cm="1">
        <f t="array" aca="1" ref="E417" ca="1">RIGHT(INDIRECT(ADDRESS(5,2,,,$A417)),5)</f>
        <v>#VALUE!</v>
      </c>
      <c r="F417" s="22">
        <v>1.0335000000000001</v>
      </c>
      <c r="G417" s="22">
        <f t="shared" si="104"/>
        <v>1.0325</v>
      </c>
      <c r="H417" s="7">
        <v>4</v>
      </c>
      <c r="I417" s="7">
        <v>3</v>
      </c>
      <c r="J417" s="26">
        <v>4</v>
      </c>
      <c r="K417" s="26"/>
      <c r="L417" s="26" t="s">
        <v>350</v>
      </c>
      <c r="M417" s="26" t="s">
        <v>351</v>
      </c>
      <c r="N417" s="9" t="str">
        <f>LEFT(INDEX('2026_MAYO_SIMU_CADV_LIV_KDY'!$A$1:$E$30,MATCH($H417,'2026_MAYO_SIMU_CADV_LIV_KDY'!$A$1:$A$30),MATCH(I417,'2026_MAYO_SIMU_CADV_LIV_KDY'!$A$1:$D$1)),30)</f>
        <v xml:space="preserve">FOLLOW UP CARE - From day 31  </v>
      </c>
      <c r="O417" s="16">
        <v>42696</v>
      </c>
      <c r="P417" s="507">
        <f t="shared" si="112"/>
        <v>44084</v>
      </c>
    </row>
    <row r="418" spans="1:17">
      <c r="A418" s="1" t="e">
        <f ca="1">'2026_MAYO_SIMU_CADV_LIV_KDY'!$A$1</f>
        <v>#VALUE!</v>
      </c>
      <c r="B418" s="14" t="e">
        <f t="shared" ca="1" si="113"/>
        <v>#VALUE!</v>
      </c>
      <c r="C418" s="1" t="s">
        <v>370</v>
      </c>
      <c r="D418" s="5" t="e" cm="1">
        <f t="array" aca="1" ref="D418" ca="1">RIGHT(INDIRECT(ADDRESS(7,2,,,$A418)),6)</f>
        <v>#VALUE!</v>
      </c>
      <c r="E418" s="6" t="e" cm="1">
        <f t="array" aca="1" ref="E418" ca="1">RIGHT(INDIRECT(ADDRESS(5,2,,,$A418)),5)</f>
        <v>#VALUE!</v>
      </c>
      <c r="F418" s="22">
        <v>1.0335000000000001</v>
      </c>
      <c r="G418" s="22">
        <f t="shared" si="104"/>
        <v>1.0325</v>
      </c>
      <c r="H418" s="7">
        <v>5</v>
      </c>
      <c r="I418" s="7">
        <v>3</v>
      </c>
      <c r="J418" s="26">
        <v>4</v>
      </c>
      <c r="K418" s="26"/>
      <c r="L418" s="26" t="s">
        <v>350</v>
      </c>
      <c r="M418" s="26" t="s">
        <v>351</v>
      </c>
      <c r="N418" s="9" t="str">
        <f>LEFT(INDEX('2026_MAYO_SIMU_CADV_LIV_KDY'!$A$1:$E$30,MATCH($H418,'2026_MAYO_SIMU_CADV_LIV_KDY'!$A$1:$A$30),MATCH(I418,'2026_MAYO_SIMU_CADV_LIV_KDY'!$A$1:$D$1)),30)</f>
        <v xml:space="preserve">PER DIEM RATES for day 61+ of </v>
      </c>
      <c r="O418" s="16">
        <v>2474</v>
      </c>
      <c r="P418" s="507">
        <f t="shared" si="112"/>
        <v>2554</v>
      </c>
    </row>
    <row r="419" spans="1:17">
      <c r="A419" s="1" t="e">
        <f ca="1">'2026_MAYO_SIMU_CADV_LIV_KDY'!$A$1</f>
        <v>#VALUE!</v>
      </c>
      <c r="B419" s="14" t="e">
        <f t="shared" ca="1" si="113"/>
        <v>#VALUE!</v>
      </c>
      <c r="C419" s="1" t="s">
        <v>370</v>
      </c>
      <c r="D419" s="5" t="e" cm="1">
        <f t="array" aca="1" ref="D419" ca="1">RIGHT(INDIRECT(ADDRESS(7,2,,,$A419)),6)</f>
        <v>#VALUE!</v>
      </c>
      <c r="E419" s="6" t="e" cm="1">
        <f t="array" aca="1" ref="E419" ca="1">RIGHT(INDIRECT(ADDRESS(5,2,,,$A419)),5)</f>
        <v>#VALUE!</v>
      </c>
      <c r="F419" s="22">
        <v>1.0335000000000001</v>
      </c>
      <c r="G419" s="22">
        <f t="shared" si="104"/>
        <v>1.0325</v>
      </c>
      <c r="H419" s="7">
        <v>6</v>
      </c>
      <c r="I419" s="7">
        <v>3</v>
      </c>
      <c r="J419" s="26">
        <v>4</v>
      </c>
      <c r="K419" s="26"/>
      <c r="L419" s="26" t="s">
        <v>350</v>
      </c>
      <c r="M419" s="26" t="s">
        <v>351</v>
      </c>
      <c r="N419" s="9" t="str">
        <f>LEFT(INDEX('2026_MAYO_SIMU_CADV_LIV_KDY'!$A$1:$E$30,MATCH($H419,'2026_MAYO_SIMU_CADV_LIV_KDY'!$A$1:$A$30),MATCH(I419,'2026_MAYO_SIMU_CADV_LIV_KDY'!$A$1:$D$1)),30)</f>
        <v>Days 11+/61+ paid at the per d</v>
      </c>
      <c r="O419" s="16">
        <v>7263.18</v>
      </c>
      <c r="P419" s="509">
        <f>O419*$Q$2</f>
        <v>8014.1928120000002</v>
      </c>
      <c r="Q419" s="14" t="s">
        <v>352</v>
      </c>
    </row>
    <row r="420" spans="1:17">
      <c r="A420" s="1" t="e">
        <f ca="1">'2026_MAYO_SIMU_KDY_PANCREAS'!$A$1</f>
        <v>#VALUE!</v>
      </c>
      <c r="B420" s="14" t="e">
        <f t="shared" ca="1" si="113"/>
        <v>#VALUE!</v>
      </c>
      <c r="C420" s="1" t="s">
        <v>370</v>
      </c>
      <c r="D420" s="4" t="e" cm="1">
        <f t="array" aca="1" ref="D420" ca="1">RIGHT(INDIRECT(ADDRESS(6,2,,,$A420)),6)</f>
        <v>#VALUE!</v>
      </c>
      <c r="E420" s="1" t="e" cm="1">
        <f t="array" aca="1" ref="E420" ca="1">RIGHT(INDIRECT(ADDRESS(4,2,,,$A420)),5)</f>
        <v>#VALUE!</v>
      </c>
      <c r="F420" s="22">
        <v>1.0335000000000001</v>
      </c>
      <c r="G420" s="22">
        <f t="shared" si="104"/>
        <v>1.0325</v>
      </c>
      <c r="H420" s="7">
        <v>1</v>
      </c>
      <c r="I420" s="7">
        <v>3</v>
      </c>
      <c r="J420" s="26">
        <v>4</v>
      </c>
      <c r="K420" s="26"/>
      <c r="L420" s="26" t="s">
        <v>350</v>
      </c>
      <c r="M420" s="26" t="s">
        <v>351</v>
      </c>
      <c r="N420" s="9" t="str">
        <f>LEFT(INDEX('2026_MAYO_SIMU_KDY_PANCREAS'!$A$1:$E$30,MATCH($H420,'2026_MAYO_SIMU_KDY_PANCREAS'!$A$1:$A$30),MATCH(I420,'2026_MAYO_SIMU_KDY_PANCREAS'!$A$1:$D$1)),30)</f>
        <v>OUTPATIENT EVALUATION* - Initi</v>
      </c>
      <c r="O420" s="16">
        <v>5344</v>
      </c>
      <c r="P420" s="507">
        <f t="shared" ref="P420:P424" si="114">ROUND(O420*$G$2,0)</f>
        <v>5518</v>
      </c>
    </row>
    <row r="421" spans="1:17">
      <c r="A421" s="1" t="e">
        <f ca="1">'2026_MAYO_SIMU_KDY_PANCREAS'!$A$1</f>
        <v>#VALUE!</v>
      </c>
      <c r="B421" s="14" t="e">
        <f t="shared" ca="1" si="113"/>
        <v>#VALUE!</v>
      </c>
      <c r="C421" s="1" t="s">
        <v>370</v>
      </c>
      <c r="D421" s="4" t="e" cm="1">
        <f t="array" aca="1" ref="D421" ca="1">RIGHT(INDIRECT(ADDRESS(6,2,,,$A421)),6)</f>
        <v>#VALUE!</v>
      </c>
      <c r="E421" s="1" t="e" cm="1">
        <f t="array" aca="1" ref="E421" ca="1">RIGHT(INDIRECT(ADDRESS(4,2,,,$A421)),5)</f>
        <v>#VALUE!</v>
      </c>
      <c r="F421" s="22">
        <v>1.0335000000000001</v>
      </c>
      <c r="G421" s="22">
        <f t="shared" si="104"/>
        <v>1.0325</v>
      </c>
      <c r="H421" s="7">
        <v>2</v>
      </c>
      <c r="I421" s="7">
        <v>3</v>
      </c>
      <c r="J421" s="26">
        <v>4</v>
      </c>
      <c r="K421" s="26"/>
      <c r="L421" s="26" t="s">
        <v>350</v>
      </c>
      <c r="M421" s="26" t="s">
        <v>351</v>
      </c>
      <c r="N421" s="9" t="str">
        <f>LEFT(INDEX('2026_MAYO_SIMU_KDY_PANCREAS'!$A$1:$E$30,MATCH($H421,'2026_MAYO_SIMU_KDY_PANCREAS'!$A$1:$A$30),MATCH(I421,'2026_MAYO_SIMU_KDY_PANCREAS'!$A$1:$D$1)),30)</f>
        <v>PREP AND TRANSPLANT</v>
      </c>
      <c r="O421" s="16">
        <v>128965</v>
      </c>
      <c r="P421" s="507">
        <f t="shared" si="114"/>
        <v>133156</v>
      </c>
    </row>
    <row r="422" spans="1:17">
      <c r="A422" s="1" t="e">
        <f ca="1">'2026_MAYO_SIMU_KDY_PANCREAS'!$A$1</f>
        <v>#VALUE!</v>
      </c>
      <c r="B422" s="14" t="e">
        <f t="shared" ca="1" si="113"/>
        <v>#VALUE!</v>
      </c>
      <c r="C422" s="1" t="s">
        <v>370</v>
      </c>
      <c r="D422" s="4" t="e" cm="1">
        <f t="array" aca="1" ref="D422" ca="1">RIGHT(INDIRECT(ADDRESS(6,2,,,$A422)),6)</f>
        <v>#VALUE!</v>
      </c>
      <c r="E422" s="1" t="e" cm="1">
        <f t="array" aca="1" ref="E422" ca="1">RIGHT(INDIRECT(ADDRESS(4,2,,,$A422)),5)</f>
        <v>#VALUE!</v>
      </c>
      <c r="F422" s="22">
        <v>1.0335000000000001</v>
      </c>
      <c r="G422" s="22">
        <f t="shared" si="104"/>
        <v>1.0325</v>
      </c>
      <c r="H422" s="7">
        <v>3</v>
      </c>
      <c r="I422" s="7">
        <v>3</v>
      </c>
      <c r="J422" s="26">
        <v>4</v>
      </c>
      <c r="K422" s="26"/>
      <c r="L422" s="26" t="s">
        <v>350</v>
      </c>
      <c r="M422" s="26" t="s">
        <v>351</v>
      </c>
      <c r="N422" s="9" t="str">
        <f>LEFT(INDEX('2026_MAYO_SIMU_KDY_PANCREAS'!$A$1:$E$30,MATCH($H422,'2026_MAYO_SIMU_KDY_PANCREAS'!$A$1:$A$30),MATCH(I422,'2026_MAYO_SIMU_KDY_PANCREAS'!$A$1:$D$1)),30)</f>
        <v>FOLLOW UP CARE - From day 1 po</v>
      </c>
      <c r="O422" s="16">
        <v>54241</v>
      </c>
      <c r="P422" s="507">
        <f t="shared" si="114"/>
        <v>56004</v>
      </c>
    </row>
    <row r="423" spans="1:17">
      <c r="A423" s="1" t="e">
        <f ca="1">'2026_MAYO_SIMU_KDY_PANCREAS'!$A$1</f>
        <v>#VALUE!</v>
      </c>
      <c r="B423" s="14" t="e">
        <f t="shared" ca="1" si="113"/>
        <v>#VALUE!</v>
      </c>
      <c r="C423" s="1" t="s">
        <v>370</v>
      </c>
      <c r="D423" s="4" t="e" cm="1">
        <f t="array" aca="1" ref="D423" ca="1">RIGHT(INDIRECT(ADDRESS(6,2,,,$A423)),6)</f>
        <v>#VALUE!</v>
      </c>
      <c r="E423" s="1" t="e" cm="1">
        <f t="array" aca="1" ref="E423" ca="1">RIGHT(INDIRECT(ADDRESS(4,2,,,$A423)),5)</f>
        <v>#VALUE!</v>
      </c>
      <c r="F423" s="22">
        <v>1.0335000000000001</v>
      </c>
      <c r="G423" s="22">
        <f t="shared" si="104"/>
        <v>1.0325</v>
      </c>
      <c r="H423" s="7">
        <v>4</v>
      </c>
      <c r="I423" s="7">
        <v>3</v>
      </c>
      <c r="J423" s="26">
        <v>4</v>
      </c>
      <c r="K423" s="26"/>
      <c r="L423" s="26" t="s">
        <v>350</v>
      </c>
      <c r="M423" s="26" t="s">
        <v>351</v>
      </c>
      <c r="N423" s="9" t="str">
        <f>LEFT(INDEX('2026_MAYO_SIMU_KDY_PANCREAS'!$A$1:$E$30,MATCH($H423,'2026_MAYO_SIMU_KDY_PANCREAS'!$A$1:$A$30),MATCH(I423,'2026_MAYO_SIMU_KDY_PANCREAS'!$A$1:$D$1)),30)</f>
        <v xml:space="preserve">FOLLOW UP CARE - From day 31  </v>
      </c>
      <c r="O423" s="16">
        <v>8737</v>
      </c>
      <c r="P423" s="507">
        <f t="shared" si="114"/>
        <v>9021</v>
      </c>
    </row>
    <row r="424" spans="1:17">
      <c r="A424" s="1" t="e">
        <f ca="1">'2026_MAYO_SIMU_KDY_PANCREAS'!$A$1</f>
        <v>#VALUE!</v>
      </c>
      <c r="B424" s="14" t="e">
        <f t="shared" ca="1" si="113"/>
        <v>#VALUE!</v>
      </c>
      <c r="C424" s="1" t="s">
        <v>370</v>
      </c>
      <c r="D424" s="4" t="e" cm="1">
        <f t="array" aca="1" ref="D424" ca="1">RIGHT(INDIRECT(ADDRESS(6,2,,,$A424)),6)</f>
        <v>#VALUE!</v>
      </c>
      <c r="E424" s="1" t="e" cm="1">
        <f t="array" aca="1" ref="E424" ca="1">RIGHT(INDIRECT(ADDRESS(4,2,,,$A424)),5)</f>
        <v>#VALUE!</v>
      </c>
      <c r="F424" s="22">
        <v>1.0335000000000001</v>
      </c>
      <c r="G424" s="22">
        <f t="shared" si="104"/>
        <v>1.0325</v>
      </c>
      <c r="H424" s="7">
        <v>5</v>
      </c>
      <c r="I424" s="7">
        <v>3</v>
      </c>
      <c r="J424" s="26">
        <v>4</v>
      </c>
      <c r="K424" s="26"/>
      <c r="L424" s="26" t="s">
        <v>350</v>
      </c>
      <c r="M424" s="26" t="s">
        <v>351</v>
      </c>
      <c r="N424" s="9" t="str">
        <f>LEFT(INDEX('2026_MAYO_SIMU_KDY_PANCREAS'!$A$1:$E$30,MATCH($H424,'2026_MAYO_SIMU_KDY_PANCREAS'!$A$1:$A$30),MATCH(I424,'2026_MAYO_SIMU_KDY_PANCREAS'!$A$1:$D$1)),30)</f>
        <v xml:space="preserve">PER DIEM RATES for day 61+ of </v>
      </c>
      <c r="O424" s="16">
        <v>2474</v>
      </c>
      <c r="P424" s="507">
        <f t="shared" si="114"/>
        <v>2554</v>
      </c>
    </row>
    <row r="425" spans="1:17">
      <c r="A425" s="1" t="e">
        <f ca="1">'2026_MAYO_SIMU_KDY_PANCREAS'!$A$1</f>
        <v>#VALUE!</v>
      </c>
      <c r="B425" s="14" t="e">
        <f t="shared" ca="1" si="113"/>
        <v>#VALUE!</v>
      </c>
      <c r="C425" s="1" t="s">
        <v>370</v>
      </c>
      <c r="D425" s="4" t="e" cm="1">
        <f t="array" aca="1" ref="D425" ca="1">RIGHT(INDIRECT(ADDRESS(6,2,,,$A425)),6)</f>
        <v>#VALUE!</v>
      </c>
      <c r="E425" s="1" t="e" cm="1">
        <f t="array" aca="1" ref="E425" ca="1">RIGHT(INDIRECT(ADDRESS(4,2,,,$A425)),5)</f>
        <v>#VALUE!</v>
      </c>
      <c r="F425" s="22">
        <v>1.0335000000000001</v>
      </c>
      <c r="G425" s="22">
        <f t="shared" si="104"/>
        <v>1.0325</v>
      </c>
      <c r="H425" s="7">
        <v>6</v>
      </c>
      <c r="I425" s="7">
        <v>3</v>
      </c>
      <c r="J425" s="26">
        <v>4</v>
      </c>
      <c r="K425" s="26"/>
      <c r="L425" s="26" t="s">
        <v>350</v>
      </c>
      <c r="M425" s="26" t="s">
        <v>351</v>
      </c>
      <c r="N425" s="9" t="str">
        <f>LEFT(INDEX('2026_MAYO_SIMU_KDY_PANCREAS'!$A$1:$E$30,MATCH($H425,'2026_MAYO_SIMU_KDY_PANCREAS'!$A$1:$A$30),MATCH(I425,'2026_MAYO_SIMU_KDY_PANCREAS'!$A$1:$D$1)),30)</f>
        <v>Days 11+/61+ paid at the per d</v>
      </c>
      <c r="O425" s="16">
        <v>7263.18</v>
      </c>
      <c r="P425" s="509">
        <f>O425*$Q$2</f>
        <v>8014.1928120000002</v>
      </c>
      <c r="Q425" s="14" t="s">
        <v>352</v>
      </c>
    </row>
    <row r="426" spans="1:17">
      <c r="A426" s="1" t="e">
        <f ca="1">'2026_MAYO_PANCREASafter_KDY'!$A$1</f>
        <v>#VALUE!</v>
      </c>
      <c r="B426" s="14" t="e">
        <f t="shared" ca="1" si="113"/>
        <v>#VALUE!</v>
      </c>
      <c r="C426" s="1" t="s">
        <v>370</v>
      </c>
      <c r="D426" s="4" t="e" cm="1">
        <f t="array" aca="1" ref="D426" ca="1">RIGHT(INDIRECT(ADDRESS(6,2,,,$A426)),6)</f>
        <v>#VALUE!</v>
      </c>
      <c r="E426" s="1" t="e" cm="1">
        <f t="array" aca="1" ref="E426" ca="1">RIGHT(INDIRECT(ADDRESS(4,2,,,$A426)),5)</f>
        <v>#VALUE!</v>
      </c>
      <c r="F426" s="22">
        <v>1.0335000000000001</v>
      </c>
      <c r="G426" s="22">
        <f t="shared" si="104"/>
        <v>1.0325</v>
      </c>
      <c r="H426" s="7">
        <v>1</v>
      </c>
      <c r="I426" s="7">
        <v>3</v>
      </c>
      <c r="J426" s="26">
        <v>4</v>
      </c>
      <c r="K426" s="26"/>
      <c r="L426" s="26" t="s">
        <v>350</v>
      </c>
      <c r="M426" s="26" t="s">
        <v>351</v>
      </c>
      <c r="N426" s="9" t="str">
        <f>LEFT(INDEX('2026_MAYO_PANCREASafter_KDY'!$A$1:$E$30,MATCH($H426,'2026_MAYO_PANCREASafter_KDY'!$A$1:$A$30),MATCH(I426,'2026_MAYO_PANCREASafter_KDY'!$A$1:$D$1)),30)</f>
        <v>OUTPATIENT EVALUATION* - Initi</v>
      </c>
      <c r="O426" s="16">
        <v>3722</v>
      </c>
      <c r="P426" s="507">
        <f t="shared" ref="P426:P430" si="115">ROUND(O426*$G$2,0)</f>
        <v>3843</v>
      </c>
    </row>
    <row r="427" spans="1:17">
      <c r="A427" s="1" t="e">
        <f ca="1">'2026_MAYO_PANCREASafter_KDY'!$A$1</f>
        <v>#VALUE!</v>
      </c>
      <c r="B427" s="14" t="e">
        <f t="shared" ca="1" si="113"/>
        <v>#VALUE!</v>
      </c>
      <c r="C427" s="1" t="s">
        <v>370</v>
      </c>
      <c r="D427" s="4" t="e" cm="1">
        <f t="array" aca="1" ref="D427" ca="1">RIGHT(INDIRECT(ADDRESS(6,2,,,$A427)),6)</f>
        <v>#VALUE!</v>
      </c>
      <c r="E427" s="1" t="e" cm="1">
        <f t="array" aca="1" ref="E427" ca="1">RIGHT(INDIRECT(ADDRESS(4,2,,,$A427)),5)</f>
        <v>#VALUE!</v>
      </c>
      <c r="F427" s="22">
        <v>1.0335000000000001</v>
      </c>
      <c r="G427" s="22">
        <f t="shared" si="104"/>
        <v>1.0325</v>
      </c>
      <c r="H427" s="7">
        <v>2</v>
      </c>
      <c r="I427" s="7">
        <v>3</v>
      </c>
      <c r="J427" s="26">
        <v>4</v>
      </c>
      <c r="K427" s="26"/>
      <c r="L427" s="26" t="s">
        <v>350</v>
      </c>
      <c r="M427" s="26" t="s">
        <v>351</v>
      </c>
      <c r="N427" s="9" t="str">
        <f>LEFT(INDEX('2026_MAYO_PANCREASafter_KDY'!$A$1:$E$30,MATCH($H427,'2026_MAYO_PANCREASafter_KDY'!$A$1:$A$30),MATCH(I427,'2026_MAYO_PANCREASafter_KDY'!$A$1:$D$1)),30)</f>
        <v>PREP AND TRANSPLANT</v>
      </c>
      <c r="O427" s="16">
        <v>70486</v>
      </c>
      <c r="P427" s="507">
        <f t="shared" si="115"/>
        <v>72777</v>
      </c>
    </row>
    <row r="428" spans="1:17">
      <c r="A428" s="1" t="e">
        <f ca="1">'2026_MAYO_PANCREASafter_KDY'!$A$1</f>
        <v>#VALUE!</v>
      </c>
      <c r="B428" s="14" t="e">
        <f t="shared" ca="1" si="113"/>
        <v>#VALUE!</v>
      </c>
      <c r="C428" s="1" t="s">
        <v>370</v>
      </c>
      <c r="D428" s="4" t="e" cm="1">
        <f t="array" aca="1" ref="D428" ca="1">RIGHT(INDIRECT(ADDRESS(6,2,,,$A428)),6)</f>
        <v>#VALUE!</v>
      </c>
      <c r="E428" s="1" t="e" cm="1">
        <f t="array" aca="1" ref="E428" ca="1">RIGHT(INDIRECT(ADDRESS(4,2,,,$A428)),5)</f>
        <v>#VALUE!</v>
      </c>
      <c r="F428" s="22">
        <v>1.0335000000000001</v>
      </c>
      <c r="G428" s="22">
        <f t="shared" si="104"/>
        <v>1.0325</v>
      </c>
      <c r="H428" s="7">
        <v>3</v>
      </c>
      <c r="I428" s="7">
        <v>3</v>
      </c>
      <c r="J428" s="26">
        <v>4</v>
      </c>
      <c r="K428" s="26"/>
      <c r="L428" s="26" t="s">
        <v>350</v>
      </c>
      <c r="M428" s="26" t="s">
        <v>351</v>
      </c>
      <c r="N428" s="9" t="str">
        <f>LEFT(INDEX('2026_MAYO_PANCREASafter_KDY'!$A$1:$E$30,MATCH($H428,'2026_MAYO_PANCREASafter_KDY'!$A$1:$A$30),MATCH(I428,'2026_MAYO_PANCREASafter_KDY'!$A$1:$D$1)),30)</f>
        <v>FOLLOW UP CARE - From day 1 po</v>
      </c>
      <c r="O428" s="16">
        <v>58618</v>
      </c>
      <c r="P428" s="507">
        <f t="shared" si="115"/>
        <v>60523</v>
      </c>
    </row>
    <row r="429" spans="1:17">
      <c r="A429" s="1" t="e">
        <f ca="1">'2026_MAYO_PANCREASafter_KDY'!$A$1</f>
        <v>#VALUE!</v>
      </c>
      <c r="B429" s="14" t="e">
        <f t="shared" ca="1" si="113"/>
        <v>#VALUE!</v>
      </c>
      <c r="C429" s="1" t="s">
        <v>370</v>
      </c>
      <c r="D429" s="4" t="e" cm="1">
        <f t="array" aca="1" ref="D429" ca="1">RIGHT(INDIRECT(ADDRESS(6,2,,,$A429)),6)</f>
        <v>#VALUE!</v>
      </c>
      <c r="E429" s="1" t="e" cm="1">
        <f t="array" aca="1" ref="E429" ca="1">RIGHT(INDIRECT(ADDRESS(4,2,,,$A429)),5)</f>
        <v>#VALUE!</v>
      </c>
      <c r="F429" s="22">
        <v>1.0335000000000001</v>
      </c>
      <c r="G429" s="22">
        <f t="shared" si="104"/>
        <v>1.0325</v>
      </c>
      <c r="H429" s="7">
        <v>4</v>
      </c>
      <c r="I429" s="7">
        <v>3</v>
      </c>
      <c r="J429" s="26">
        <v>4</v>
      </c>
      <c r="K429" s="26"/>
      <c r="L429" s="26" t="s">
        <v>350</v>
      </c>
      <c r="M429" s="26" t="s">
        <v>351</v>
      </c>
      <c r="N429" s="9" t="str">
        <f>LEFT(INDEX('2026_MAYO_PANCREASafter_KDY'!$A$1:$E$30,MATCH($H429,'2026_MAYO_PANCREASafter_KDY'!$A$1:$A$30),MATCH(I429,'2026_MAYO_PANCREASafter_KDY'!$A$1:$D$1)),30)</f>
        <v xml:space="preserve">FOLLOW UP CARE - From day 31  </v>
      </c>
      <c r="O429" s="16">
        <v>13315</v>
      </c>
      <c r="P429" s="507">
        <f t="shared" si="115"/>
        <v>13748</v>
      </c>
    </row>
    <row r="430" spans="1:17">
      <c r="A430" s="1" t="e">
        <f ca="1">'2026_MAYO_PANCREASafter_KDY'!$A$1</f>
        <v>#VALUE!</v>
      </c>
      <c r="B430" s="14" t="e">
        <f t="shared" ca="1" si="113"/>
        <v>#VALUE!</v>
      </c>
      <c r="C430" s="1" t="s">
        <v>370</v>
      </c>
      <c r="D430" s="4" t="e" cm="1">
        <f t="array" aca="1" ref="D430" ca="1">RIGHT(INDIRECT(ADDRESS(6,2,,,$A430)),6)</f>
        <v>#VALUE!</v>
      </c>
      <c r="E430" s="1" t="e" cm="1">
        <f t="array" aca="1" ref="E430" ca="1">RIGHT(INDIRECT(ADDRESS(4,2,,,$A430)),5)</f>
        <v>#VALUE!</v>
      </c>
      <c r="F430" s="22">
        <v>1.0335000000000001</v>
      </c>
      <c r="G430" s="22">
        <f t="shared" si="104"/>
        <v>1.0325</v>
      </c>
      <c r="H430" s="7">
        <v>5</v>
      </c>
      <c r="I430" s="7">
        <v>3</v>
      </c>
      <c r="J430" s="26">
        <v>4</v>
      </c>
      <c r="K430" s="26"/>
      <c r="L430" s="26" t="s">
        <v>350</v>
      </c>
      <c r="M430" s="26" t="s">
        <v>351</v>
      </c>
      <c r="N430" s="9" t="str">
        <f>LEFT(INDEX('2026_MAYO_PANCREASafter_KDY'!$A$1:$E$30,MATCH($H430,'2026_MAYO_PANCREASafter_KDY'!$A$1:$A$30),MATCH(I430,'2026_MAYO_PANCREASafter_KDY'!$A$1:$D$1)),30)</f>
        <v xml:space="preserve">PER DIEM RATES for day 61+ of </v>
      </c>
      <c r="O430" s="16">
        <v>2474</v>
      </c>
      <c r="P430" s="507">
        <f t="shared" si="115"/>
        <v>2554</v>
      </c>
    </row>
    <row r="431" spans="1:17">
      <c r="A431" s="1" t="e">
        <f ca="1">'2026_MAYO_PANCREASafter_KDY'!$A$1</f>
        <v>#VALUE!</v>
      </c>
      <c r="B431" s="14" t="e">
        <f t="shared" ca="1" si="113"/>
        <v>#VALUE!</v>
      </c>
      <c r="C431" s="1" t="s">
        <v>370</v>
      </c>
      <c r="D431" s="4" t="e" cm="1">
        <f t="array" aca="1" ref="D431" ca="1">RIGHT(INDIRECT(ADDRESS(6,2,,,$A431)),6)</f>
        <v>#VALUE!</v>
      </c>
      <c r="E431" s="1" t="e" cm="1">
        <f t="array" aca="1" ref="E431" ca="1">RIGHT(INDIRECT(ADDRESS(4,2,,,$A431)),5)</f>
        <v>#VALUE!</v>
      </c>
      <c r="F431" s="22">
        <v>1.0335000000000001</v>
      </c>
      <c r="G431" s="22">
        <f t="shared" si="104"/>
        <v>1.0325</v>
      </c>
      <c r="H431" s="7">
        <v>6</v>
      </c>
      <c r="I431" s="7">
        <v>3</v>
      </c>
      <c r="J431" s="26">
        <v>4</v>
      </c>
      <c r="K431" s="26"/>
      <c r="L431" s="26" t="s">
        <v>350</v>
      </c>
      <c r="M431" s="26" t="s">
        <v>351</v>
      </c>
      <c r="N431" s="9" t="str">
        <f>LEFT(INDEX('2026_MAYO_PANCREASafter_KDY'!$A$1:$E$30,MATCH($H431,'2026_MAYO_PANCREASafter_KDY'!$A$1:$A$30),MATCH(I431,'2026_MAYO_PANCREASafter_KDY'!$A$1:$D$1)),30)</f>
        <v>Days 11+/61+ paid at the per d</v>
      </c>
      <c r="O431" s="16">
        <v>7263.18</v>
      </c>
      <c r="P431" s="509">
        <f>O431*$Q$2</f>
        <v>8014.1928120000002</v>
      </c>
      <c r="Q431" s="14" t="s">
        <v>352</v>
      </c>
    </row>
    <row r="432" spans="1:17">
      <c r="A432" s="1" t="e">
        <f ca="1">'2026_PCH_PED_BMT_AUTO'!$A$1</f>
        <v>#VALUE!</v>
      </c>
      <c r="B432" s="14" t="e">
        <f t="shared" ca="1" si="113"/>
        <v>#VALUE!</v>
      </c>
      <c r="C432" s="1" t="s">
        <v>370</v>
      </c>
      <c r="D432" s="4" t="e" cm="1">
        <f t="array" aca="1" ref="D432" ca="1">RIGHT(INDIRECT(ADDRESS(6,2,,,$A432)),6)</f>
        <v>#VALUE!</v>
      </c>
      <c r="E432" s="1" t="e" cm="1">
        <f t="array" aca="1" ref="E432" ca="1">RIGHT(INDIRECT(ADDRESS(4,2,,,$A432)),5)</f>
        <v>#VALUE!</v>
      </c>
      <c r="F432" s="22">
        <v>1.0335000000000001</v>
      </c>
      <c r="G432" s="22">
        <f t="shared" si="104"/>
        <v>1.0325</v>
      </c>
      <c r="H432" s="7">
        <v>1</v>
      </c>
      <c r="I432" s="7">
        <v>3</v>
      </c>
      <c r="J432" s="26">
        <v>4</v>
      </c>
      <c r="K432" s="26"/>
      <c r="L432" s="26" t="s">
        <v>350</v>
      </c>
      <c r="M432" s="26" t="s">
        <v>351</v>
      </c>
      <c r="N432" s="9" t="str">
        <f>LEFT(INDEX('2026_PCH_PED_BMT_AUTO'!$A$1:$E$30,MATCH($H432,'2026_PCH_PED_BMT_AUTO'!$A$1:$A$30),MATCH(I432,'2026_PCH_PED_BMT_AUTO'!$A$1:$D$1)),30)</f>
        <v>OUTPATIENT EVALUATION* - Initi</v>
      </c>
      <c r="O432" s="16">
        <v>6304</v>
      </c>
      <c r="P432" s="507">
        <f t="shared" ref="P432:P437" si="116">ROUND(O432*$G$2,0)</f>
        <v>6509</v>
      </c>
    </row>
    <row r="433" spans="1:17">
      <c r="A433" s="1" t="e">
        <f ca="1">'2026_PCH_PED_BMT_AUTO'!$A$1</f>
        <v>#VALUE!</v>
      </c>
      <c r="B433" s="14" t="e">
        <f t="shared" ca="1" si="113"/>
        <v>#VALUE!</v>
      </c>
      <c r="C433" s="1" t="s">
        <v>370</v>
      </c>
      <c r="D433" s="4" t="e" cm="1">
        <f t="array" aca="1" ref="D433" ca="1">RIGHT(INDIRECT(ADDRESS(6,2,,,$A433)),6)</f>
        <v>#VALUE!</v>
      </c>
      <c r="E433" s="1" t="e" cm="1">
        <f t="array" aca="1" ref="E433" ca="1">RIGHT(INDIRECT(ADDRESS(4,2,,,$A433)),5)</f>
        <v>#VALUE!</v>
      </c>
      <c r="F433" s="22">
        <v>1.0335000000000001</v>
      </c>
      <c r="G433" s="22">
        <f t="shared" si="104"/>
        <v>1.0325</v>
      </c>
      <c r="H433" s="7">
        <v>2</v>
      </c>
      <c r="I433" s="7">
        <v>3</v>
      </c>
      <c r="J433" s="26">
        <v>4</v>
      </c>
      <c r="K433" s="26"/>
      <c r="L433" s="26" t="s">
        <v>350</v>
      </c>
      <c r="M433" s="26" t="s">
        <v>351</v>
      </c>
      <c r="N433" s="9" t="str">
        <f>LEFT(INDEX('2026_PCH_PED_BMT_AUTO'!$A$1:$E$30,MATCH($H433,'2026_PCH_PED_BMT_AUTO'!$A$1:$A$30),MATCH(I433,'2026_PCH_PED_BMT_AUTO'!$A$1:$D$1)),30)</f>
        <v>AUTOLOGOUS HARVEST</v>
      </c>
      <c r="O433" s="16">
        <v>16607</v>
      </c>
      <c r="P433" s="507">
        <f t="shared" si="116"/>
        <v>17147</v>
      </c>
    </row>
    <row r="434" spans="1:17">
      <c r="A434" s="1" t="e">
        <f ca="1">'2026_PCH_PED_BMT_AUTO'!$A$1</f>
        <v>#VALUE!</v>
      </c>
      <c r="B434" s="14" t="e">
        <f t="shared" ca="1" si="113"/>
        <v>#VALUE!</v>
      </c>
      <c r="C434" s="1" t="s">
        <v>370</v>
      </c>
      <c r="D434" s="4" t="e" cm="1">
        <f t="array" aca="1" ref="D434" ca="1">RIGHT(INDIRECT(ADDRESS(6,2,,,$A434)),6)</f>
        <v>#VALUE!</v>
      </c>
      <c r="E434" s="1" t="e" cm="1">
        <f t="array" aca="1" ref="E434" ca="1">RIGHT(INDIRECT(ADDRESS(4,2,,,$A434)),5)</f>
        <v>#VALUE!</v>
      </c>
      <c r="F434" s="22">
        <v>1.0335000000000001</v>
      </c>
      <c r="G434" s="22">
        <f t="shared" si="104"/>
        <v>1.0325</v>
      </c>
      <c r="H434" s="7">
        <v>3</v>
      </c>
      <c r="I434" s="7">
        <v>3</v>
      </c>
      <c r="J434" s="26">
        <v>4</v>
      </c>
      <c r="K434" s="26"/>
      <c r="L434" s="26" t="s">
        <v>350</v>
      </c>
      <c r="M434" s="26" t="s">
        <v>351</v>
      </c>
      <c r="N434" s="9" t="str">
        <f>LEFT(INDEX('2026_PCH_PED_BMT_AUTO'!$A$1:$E$30,MATCH($H434,'2026_PCH_PED_BMT_AUTO'!$A$1:$A$30),MATCH(I434,'2026_PCH_PED_BMT_AUTO'!$A$1:$D$1)),30)</f>
        <v>PREP AND TRANSPLANT</v>
      </c>
      <c r="O434" s="16">
        <v>61835</v>
      </c>
      <c r="P434" s="507">
        <f t="shared" si="116"/>
        <v>63845</v>
      </c>
    </row>
    <row r="435" spans="1:17">
      <c r="A435" s="1" t="e">
        <f ca="1">'2026_PCH_PED_BMT_AUTO'!$A$1</f>
        <v>#VALUE!</v>
      </c>
      <c r="B435" s="14" t="e">
        <f t="shared" ca="1" si="113"/>
        <v>#VALUE!</v>
      </c>
      <c r="C435" s="1" t="s">
        <v>370</v>
      </c>
      <c r="D435" s="4" t="e" cm="1">
        <f t="array" aca="1" ref="D435" ca="1">RIGHT(INDIRECT(ADDRESS(6,2,,,$A435)),6)</f>
        <v>#VALUE!</v>
      </c>
      <c r="E435" s="1" t="e" cm="1">
        <f t="array" aca="1" ref="E435" ca="1">RIGHT(INDIRECT(ADDRESS(4,2,,,$A435)),5)</f>
        <v>#VALUE!</v>
      </c>
      <c r="F435" s="22">
        <v>1.0335000000000001</v>
      </c>
      <c r="G435" s="22">
        <f t="shared" si="104"/>
        <v>1.0325</v>
      </c>
      <c r="H435" s="7">
        <v>4</v>
      </c>
      <c r="I435" s="7">
        <v>3</v>
      </c>
      <c r="J435" s="26">
        <v>4</v>
      </c>
      <c r="K435" s="26"/>
      <c r="L435" s="26" t="s">
        <v>350</v>
      </c>
      <c r="M435" s="26" t="s">
        <v>351</v>
      </c>
      <c r="N435" s="9" t="str">
        <f>LEFT(INDEX('2026_PCH_PED_BMT_AUTO'!$A$1:$E$30,MATCH($H435,'2026_PCH_PED_BMT_AUTO'!$A$1:$A$30),MATCH(I435,'2026_PCH_PED_BMT_AUTO'!$A$1:$D$1)),30)</f>
        <v>FOLLOW UP CARE - From day 1 po</v>
      </c>
      <c r="O435" s="16">
        <v>83833</v>
      </c>
      <c r="P435" s="507">
        <f t="shared" si="116"/>
        <v>86558</v>
      </c>
    </row>
    <row r="436" spans="1:17">
      <c r="A436" s="1" t="e">
        <f ca="1">'2026_PCH_PED_BMT_AUTO'!$A$1</f>
        <v>#VALUE!</v>
      </c>
      <c r="B436" s="14" t="e">
        <f t="shared" ca="1" si="113"/>
        <v>#VALUE!</v>
      </c>
      <c r="C436" s="1" t="s">
        <v>370</v>
      </c>
      <c r="D436" s="4" t="e" cm="1">
        <f t="array" aca="1" ref="D436" ca="1">RIGHT(INDIRECT(ADDRESS(6,2,,,$A436)),6)</f>
        <v>#VALUE!</v>
      </c>
      <c r="E436" s="1" t="e" cm="1">
        <f t="array" aca="1" ref="E436" ca="1">RIGHT(INDIRECT(ADDRESS(4,2,,,$A436)),5)</f>
        <v>#VALUE!</v>
      </c>
      <c r="F436" s="22">
        <v>1.0335000000000001</v>
      </c>
      <c r="G436" s="22">
        <f t="shared" si="104"/>
        <v>1.0325</v>
      </c>
      <c r="H436" s="7">
        <v>5</v>
      </c>
      <c r="I436" s="7">
        <v>3</v>
      </c>
      <c r="J436" s="26">
        <v>4</v>
      </c>
      <c r="K436" s="26"/>
      <c r="L436" s="26" t="s">
        <v>350</v>
      </c>
      <c r="M436" s="26" t="s">
        <v>351</v>
      </c>
      <c r="N436" s="9" t="str">
        <f>LEFT(INDEX('2026_PCH_PED_BMT_AUTO'!$A$1:$E$30,MATCH($H436,'2026_PCH_PED_BMT_AUTO'!$A$1:$A$30),MATCH(I436,'2026_PCH_PED_BMT_AUTO'!$A$1:$D$1)),30)</f>
        <v xml:space="preserve">FOLLOW UP CARE - From day 31  </v>
      </c>
      <c r="O436" s="16">
        <v>11908</v>
      </c>
      <c r="P436" s="507">
        <f t="shared" si="116"/>
        <v>12295</v>
      </c>
    </row>
    <row r="437" spans="1:17">
      <c r="A437" s="1" t="e">
        <f ca="1">'2026_PCH_PED_BMT_AUTO'!$A$1</f>
        <v>#VALUE!</v>
      </c>
      <c r="B437" s="14" t="e">
        <f t="shared" ca="1" si="113"/>
        <v>#VALUE!</v>
      </c>
      <c r="C437" s="1" t="s">
        <v>370</v>
      </c>
      <c r="D437" s="4" t="e" cm="1">
        <f t="array" aca="1" ref="D437" ca="1">RIGHT(INDIRECT(ADDRESS(6,2,,,$A437)),6)</f>
        <v>#VALUE!</v>
      </c>
      <c r="E437" s="1" t="e" cm="1">
        <f t="array" aca="1" ref="E437" ca="1">RIGHT(INDIRECT(ADDRESS(4,2,,,$A437)),5)</f>
        <v>#VALUE!</v>
      </c>
      <c r="F437" s="22">
        <v>1.0335000000000001</v>
      </c>
      <c r="G437" s="22">
        <f t="shared" si="104"/>
        <v>1.0325</v>
      </c>
      <c r="H437" s="7">
        <v>6</v>
      </c>
      <c r="I437" s="7">
        <v>3</v>
      </c>
      <c r="J437" s="26">
        <v>4</v>
      </c>
      <c r="K437" s="26"/>
      <c r="L437" s="26" t="s">
        <v>350</v>
      </c>
      <c r="M437" s="26" t="s">
        <v>351</v>
      </c>
      <c r="N437" s="9" t="str">
        <f>LEFT(INDEX('2026_PCH_PED_BMT_AUTO'!$A$1:$E$30,MATCH($H437,'2026_PCH_PED_BMT_AUTO'!$A$1:$A$30),MATCH(I437,'2026_PCH_PED_BMT_AUTO'!$A$1:$D$1)),30)</f>
        <v xml:space="preserve">PER DIEM RATES for day 61+ of </v>
      </c>
      <c r="O437" s="16">
        <v>2474</v>
      </c>
      <c r="P437" s="507">
        <f t="shared" si="116"/>
        <v>2554</v>
      </c>
    </row>
    <row r="438" spans="1:17">
      <c r="A438" s="1" t="e">
        <f ca="1">'2026_PCH_PED_BMT_AUTO'!$A$1</f>
        <v>#VALUE!</v>
      </c>
      <c r="B438" s="14" t="e">
        <f t="shared" ca="1" si="113"/>
        <v>#VALUE!</v>
      </c>
      <c r="C438" s="1" t="s">
        <v>370</v>
      </c>
      <c r="D438" s="4" t="e" cm="1">
        <f t="array" aca="1" ref="D438" ca="1">RIGHT(INDIRECT(ADDRESS(6,2,,,$A438)),6)</f>
        <v>#VALUE!</v>
      </c>
      <c r="E438" s="1" t="e" cm="1">
        <f t="array" aca="1" ref="E438" ca="1">RIGHT(INDIRECT(ADDRESS(4,2,,,$A438)),5)</f>
        <v>#VALUE!</v>
      </c>
      <c r="F438" s="22">
        <v>1.0335000000000001</v>
      </c>
      <c r="G438" s="22">
        <f t="shared" si="104"/>
        <v>1.0325</v>
      </c>
      <c r="H438" s="7">
        <v>7</v>
      </c>
      <c r="I438" s="7">
        <v>3</v>
      </c>
      <c r="J438" s="26">
        <v>4</v>
      </c>
      <c r="K438" s="26"/>
      <c r="L438" s="26" t="s">
        <v>350</v>
      </c>
      <c r="M438" s="26" t="s">
        <v>351</v>
      </c>
      <c r="N438" s="9" t="str">
        <f>LEFT(INDEX('2026_PCH_PED_BMT_AUTO'!$A$1:$E$30,MATCH($H438,'2026_PCH_PED_BMT_AUTO'!$A$1:$A$30),MATCH(I438,'2026_PCH_PED_BMT_AUTO'!$A$1:$D$1)),30)</f>
        <v>Days 11+/61+ paid at the per d</v>
      </c>
      <c r="O438" s="16">
        <v>7263.18</v>
      </c>
      <c r="P438" s="509">
        <f>O438*$Q$2</f>
        <v>8014.1928120000002</v>
      </c>
      <c r="Q438" s="14" t="s">
        <v>352</v>
      </c>
    </row>
    <row r="439" spans="1:17">
      <c r="A439" s="1" t="e">
        <f ca="1">'2026_PCH_PED_BMT_ALLO_RELATE'!$A$1</f>
        <v>#VALUE!</v>
      </c>
      <c r="B439" s="14" t="e">
        <f t="shared" ca="1" si="113"/>
        <v>#VALUE!</v>
      </c>
      <c r="C439" s="1" t="s">
        <v>372</v>
      </c>
      <c r="D439" s="4" t="e" cm="1">
        <f t="array" aca="1" ref="D439" ca="1">RIGHT(INDIRECT(ADDRESS(6,2,,,$A439)),6)</f>
        <v>#VALUE!</v>
      </c>
      <c r="E439" s="1" t="e" cm="1">
        <f t="array" aca="1" ref="E439" ca="1">RIGHT(INDIRECT(ADDRESS(4,2,,,$A439)),5)</f>
        <v>#VALUE!</v>
      </c>
      <c r="F439" s="22">
        <v>1.0335000000000001</v>
      </c>
      <c r="G439" s="22">
        <f t="shared" si="104"/>
        <v>1.0325</v>
      </c>
      <c r="H439" s="7">
        <v>1</v>
      </c>
      <c r="I439" s="7">
        <v>3</v>
      </c>
      <c r="J439" s="26">
        <v>4</v>
      </c>
      <c r="K439" s="26"/>
      <c r="L439" s="26" t="s">
        <v>350</v>
      </c>
      <c r="M439" s="26" t="s">
        <v>351</v>
      </c>
      <c r="N439" s="9" t="str">
        <f>LEFT(INDEX('2026_PCH_PED_BMT_ALLO_RELATE'!$A$1:$E$30,MATCH($H439,'2026_PCH_PED_BMT_ALLO_RELATE'!$A$1:$A$30),MATCH(I439,'2026_PCH_PED_BMT_ALLO_RELATE'!$A$1:$D$1)),30)</f>
        <v>OUTPATIENT EVALUATION* - Initi</v>
      </c>
      <c r="O439" s="16">
        <v>6348</v>
      </c>
      <c r="P439" s="507">
        <f t="shared" ref="P439:P445" si="117">ROUND(O439*$G$2,0)</f>
        <v>6554</v>
      </c>
    </row>
    <row r="440" spans="1:17">
      <c r="A440" s="1" t="e">
        <f ca="1">'2026_PCH_PED_BMT_ALLO_RELATE'!$A$1</f>
        <v>#VALUE!</v>
      </c>
      <c r="B440" s="14" t="e">
        <f t="shared" ca="1" si="113"/>
        <v>#VALUE!</v>
      </c>
      <c r="C440" s="1" t="s">
        <v>372</v>
      </c>
      <c r="D440" s="4" t="e" cm="1">
        <f t="array" aca="1" ref="D440" ca="1">RIGHT(INDIRECT(ADDRESS(6,2,,,$A440)),6)</f>
        <v>#VALUE!</v>
      </c>
      <c r="E440" s="1" t="e" cm="1">
        <f t="array" aca="1" ref="E440" ca="1">RIGHT(INDIRECT(ADDRESS(4,2,,,$A440)),5)</f>
        <v>#VALUE!</v>
      </c>
      <c r="F440" s="22">
        <v>1.0335000000000001</v>
      </c>
      <c r="G440" s="22">
        <f t="shared" si="104"/>
        <v>1.0325</v>
      </c>
      <c r="H440" s="7">
        <v>2</v>
      </c>
      <c r="I440" s="7">
        <v>3</v>
      </c>
      <c r="J440" s="26">
        <v>4</v>
      </c>
      <c r="K440" s="26"/>
      <c r="L440" s="26" t="s">
        <v>350</v>
      </c>
      <c r="M440" s="26" t="s">
        <v>351</v>
      </c>
      <c r="N440" s="9" t="str">
        <f>LEFT(INDEX('2026_PCH_PED_BMT_ALLO_RELATE'!$A$1:$E$30,MATCH($H440,'2026_PCH_PED_BMT_ALLO_RELATE'!$A$1:$A$30),MATCH(I440,'2026_PCH_PED_BMT_ALLO_RELATE'!$A$1:$D$1)),30)</f>
        <v xml:space="preserve">RELATED DONOR SEARCH*  </v>
      </c>
      <c r="O440" s="16">
        <v>5190</v>
      </c>
      <c r="P440" s="507">
        <f t="shared" si="117"/>
        <v>5359</v>
      </c>
    </row>
    <row r="441" spans="1:17">
      <c r="A441" s="1" t="e">
        <f ca="1">'2026_PCH_PED_BMT_ALLO_RELATE'!$A$1</f>
        <v>#VALUE!</v>
      </c>
      <c r="B441" s="14" t="e">
        <f t="shared" ca="1" si="113"/>
        <v>#VALUE!</v>
      </c>
      <c r="C441" s="1" t="s">
        <v>372</v>
      </c>
      <c r="D441" s="4" t="e" cm="1">
        <f t="array" aca="1" ref="D441" ca="1">RIGHT(INDIRECT(ADDRESS(6,2,,,$A441)),6)</f>
        <v>#VALUE!</v>
      </c>
      <c r="E441" s="1" t="e" cm="1">
        <f t="array" aca="1" ref="E441" ca="1">RIGHT(INDIRECT(ADDRESS(4,2,,,$A441)),5)</f>
        <v>#VALUE!</v>
      </c>
      <c r="F441" s="22">
        <v>1.0335000000000001</v>
      </c>
      <c r="G441" s="22">
        <f t="shared" si="104"/>
        <v>1.0325</v>
      </c>
      <c r="H441" s="7">
        <v>3</v>
      </c>
      <c r="I441" s="7">
        <v>3</v>
      </c>
      <c r="J441" s="26">
        <v>4</v>
      </c>
      <c r="K441" s="26"/>
      <c r="L441" s="26" t="s">
        <v>350</v>
      </c>
      <c r="M441" s="26" t="s">
        <v>351</v>
      </c>
      <c r="N441" s="9" t="str">
        <f>LEFT(INDEX('2026_PCH_PED_BMT_ALLO_RELATE'!$A$1:$E$30,MATCH($H441,'2026_PCH_PED_BMT_ALLO_RELATE'!$A$1:$A$30),MATCH(I441,'2026_PCH_PED_BMT_ALLO_RELATE'!$A$1:$D$1)),30)</f>
        <v xml:space="preserve">DONOR HARVEST - NATIONAL BONE </v>
      </c>
      <c r="O441" s="16">
        <v>17125</v>
      </c>
      <c r="P441" s="507">
        <f t="shared" si="117"/>
        <v>17682</v>
      </c>
    </row>
    <row r="442" spans="1:17">
      <c r="A442" s="1" t="e">
        <f ca="1">'2026_PCH_PED_BMT_ALLO_RELATE'!$A$1</f>
        <v>#VALUE!</v>
      </c>
      <c r="B442" s="14" t="e">
        <f t="shared" ca="1" si="113"/>
        <v>#VALUE!</v>
      </c>
      <c r="C442" s="1" t="s">
        <v>372</v>
      </c>
      <c r="D442" s="4" t="e" cm="1">
        <f t="array" aca="1" ref="D442" ca="1">RIGHT(INDIRECT(ADDRESS(6,2,,,$A442)),6)</f>
        <v>#VALUE!</v>
      </c>
      <c r="E442" s="1" t="e" cm="1">
        <f t="array" aca="1" ref="E442" ca="1">RIGHT(INDIRECT(ADDRESS(4,2,,,$A442)),5)</f>
        <v>#VALUE!</v>
      </c>
      <c r="F442" s="22">
        <v>1.0335000000000001</v>
      </c>
      <c r="G442" s="22">
        <f t="shared" si="104"/>
        <v>1.0325</v>
      </c>
      <c r="H442" s="7">
        <v>4</v>
      </c>
      <c r="I442" s="7">
        <v>3</v>
      </c>
      <c r="J442" s="26">
        <v>4</v>
      </c>
      <c r="K442" s="26"/>
      <c r="L442" s="26" t="s">
        <v>350</v>
      </c>
      <c r="M442" s="26" t="s">
        <v>351</v>
      </c>
      <c r="N442" s="9" t="str">
        <f>LEFT(INDEX('2026_PCH_PED_BMT_ALLO_RELATE'!$A$1:$E$30,MATCH($H442,'2026_PCH_PED_BMT_ALLO_RELATE'!$A$1:$A$30),MATCH(I442,'2026_PCH_PED_BMT_ALLO_RELATE'!$A$1:$D$1)),30)</f>
        <v>PREP AND TRANSPLANT</v>
      </c>
      <c r="O442" s="16">
        <v>149744</v>
      </c>
      <c r="P442" s="507">
        <f t="shared" si="117"/>
        <v>154611</v>
      </c>
    </row>
    <row r="443" spans="1:17">
      <c r="A443" s="1" t="e">
        <f ca="1">'2026_PCH_PED_BMT_ALLO_RELATE'!$A$1</f>
        <v>#VALUE!</v>
      </c>
      <c r="B443" s="14" t="e">
        <f t="shared" ca="1" si="113"/>
        <v>#VALUE!</v>
      </c>
      <c r="C443" s="1" t="s">
        <v>372</v>
      </c>
      <c r="D443" s="4" t="e" cm="1">
        <f t="array" aca="1" ref="D443" ca="1">RIGHT(INDIRECT(ADDRESS(6,2,,,$A443)),6)</f>
        <v>#VALUE!</v>
      </c>
      <c r="E443" s="1" t="e" cm="1">
        <f t="array" aca="1" ref="E443" ca="1">RIGHT(INDIRECT(ADDRESS(4,2,,,$A443)),5)</f>
        <v>#VALUE!</v>
      </c>
      <c r="F443" s="22">
        <v>1.0335000000000001</v>
      </c>
      <c r="G443" s="22">
        <f t="shared" si="104"/>
        <v>1.0325</v>
      </c>
      <c r="H443" s="7">
        <v>5</v>
      </c>
      <c r="I443" s="7">
        <v>3</v>
      </c>
      <c r="J443" s="26">
        <v>4</v>
      </c>
      <c r="K443" s="26"/>
      <c r="L443" s="26" t="s">
        <v>350</v>
      </c>
      <c r="M443" s="26" t="s">
        <v>351</v>
      </c>
      <c r="N443" s="9" t="str">
        <f>LEFT(INDEX('2026_PCH_PED_BMT_ALLO_RELATE'!$A$1:$E$30,MATCH($H443,'2026_PCH_PED_BMT_ALLO_RELATE'!$A$1:$A$30),MATCH(I443,'2026_PCH_PED_BMT_ALLO_RELATE'!$A$1:$D$1)),30)</f>
        <v>FOLLOW UP CARE - From day 1 po</v>
      </c>
      <c r="O443" s="16">
        <v>203016</v>
      </c>
      <c r="P443" s="507">
        <f t="shared" si="117"/>
        <v>209614</v>
      </c>
    </row>
    <row r="444" spans="1:17">
      <c r="A444" s="1" t="e">
        <f ca="1">'2026_PCH_PED_BMT_ALLO_RELATE'!$A$1</f>
        <v>#VALUE!</v>
      </c>
      <c r="B444" s="14" t="e">
        <f t="shared" ca="1" si="113"/>
        <v>#VALUE!</v>
      </c>
      <c r="C444" s="1" t="s">
        <v>372</v>
      </c>
      <c r="D444" s="4" t="e" cm="1">
        <f t="array" aca="1" ref="D444" ca="1">RIGHT(INDIRECT(ADDRESS(6,2,,,$A444)),6)</f>
        <v>#VALUE!</v>
      </c>
      <c r="E444" s="1" t="e" cm="1">
        <f t="array" aca="1" ref="E444" ca="1">RIGHT(INDIRECT(ADDRESS(4,2,,,$A444)),5)</f>
        <v>#VALUE!</v>
      </c>
      <c r="F444" s="22">
        <v>1.0335000000000001</v>
      </c>
      <c r="G444" s="22">
        <f t="shared" si="104"/>
        <v>1.0325</v>
      </c>
      <c r="H444" s="7">
        <v>6</v>
      </c>
      <c r="I444" s="7">
        <v>3</v>
      </c>
      <c r="J444" s="26">
        <v>4</v>
      </c>
      <c r="K444" s="26"/>
      <c r="L444" s="26" t="s">
        <v>350</v>
      </c>
      <c r="M444" s="26" t="s">
        <v>351</v>
      </c>
      <c r="N444" s="9" t="str">
        <f>LEFT(INDEX('2026_PCH_PED_BMT_ALLO_RELATE'!$A$1:$E$30,MATCH($H444,'2026_PCH_PED_BMT_ALLO_RELATE'!$A$1:$A$30),MATCH(I444,'2026_PCH_PED_BMT_ALLO_RELATE'!$A$1:$D$1)),30)</f>
        <v xml:space="preserve">FOLLOW UP CARE - From day 31  </v>
      </c>
      <c r="O444" s="16">
        <v>28850</v>
      </c>
      <c r="P444" s="507">
        <f t="shared" si="117"/>
        <v>29788</v>
      </c>
    </row>
    <row r="445" spans="1:17">
      <c r="A445" s="1" t="e">
        <f ca="1">'2026_PCH_PED_BMT_ALLO_RELATE'!$A$1</f>
        <v>#VALUE!</v>
      </c>
      <c r="B445" s="14" t="e">
        <f t="shared" ca="1" si="113"/>
        <v>#VALUE!</v>
      </c>
      <c r="C445" s="1" t="s">
        <v>372</v>
      </c>
      <c r="D445" s="4" t="e" cm="1">
        <f t="array" aca="1" ref="D445" ca="1">RIGHT(INDIRECT(ADDRESS(6,2,,,$A445)),6)</f>
        <v>#VALUE!</v>
      </c>
      <c r="E445" s="1" t="e" cm="1">
        <f t="array" aca="1" ref="E445" ca="1">RIGHT(INDIRECT(ADDRESS(4,2,,,$A445)),5)</f>
        <v>#VALUE!</v>
      </c>
      <c r="F445" s="22">
        <v>1.0335000000000001</v>
      </c>
      <c r="G445" s="22">
        <f t="shared" si="104"/>
        <v>1.0325</v>
      </c>
      <c r="H445" s="7">
        <v>7</v>
      </c>
      <c r="I445" s="7">
        <v>3</v>
      </c>
      <c r="J445" s="26">
        <v>4</v>
      </c>
      <c r="K445" s="26"/>
      <c r="L445" s="26" t="s">
        <v>350</v>
      </c>
      <c r="M445" s="26" t="s">
        <v>351</v>
      </c>
      <c r="N445" s="9" t="str">
        <f>LEFT(INDEX('2026_PCH_PED_BMT_ALLO_RELATE'!$A$1:$E$30,MATCH($H445,'2026_PCH_PED_BMT_ALLO_RELATE'!$A$1:$A$30),MATCH(I445,'2026_PCH_PED_BMT_ALLO_RELATE'!$A$1:$D$1)),30)</f>
        <v xml:space="preserve">PER DIEM RATES for day 61+ of </v>
      </c>
      <c r="O445" s="16">
        <v>2474</v>
      </c>
      <c r="P445" s="507">
        <f t="shared" si="117"/>
        <v>2554</v>
      </c>
    </row>
    <row r="446" spans="1:17">
      <c r="A446" s="1" t="e">
        <f ca="1">'2026_PCH_PED_BMT_ALLO_RELATE'!$A$1</f>
        <v>#VALUE!</v>
      </c>
      <c r="B446" s="14" t="e">
        <f t="shared" ca="1" si="113"/>
        <v>#VALUE!</v>
      </c>
      <c r="C446" s="1" t="s">
        <v>372</v>
      </c>
      <c r="D446" s="4" t="e" cm="1">
        <f t="array" aca="1" ref="D446" ca="1">RIGHT(INDIRECT(ADDRESS(6,2,,,$A446)),6)</f>
        <v>#VALUE!</v>
      </c>
      <c r="E446" s="1" t="e" cm="1">
        <f t="array" aca="1" ref="E446" ca="1">RIGHT(INDIRECT(ADDRESS(4,2,,,$A446)),5)</f>
        <v>#VALUE!</v>
      </c>
      <c r="F446" s="22">
        <v>1.0335000000000001</v>
      </c>
      <c r="G446" s="22">
        <f t="shared" si="104"/>
        <v>1.0325</v>
      </c>
      <c r="H446" s="7">
        <v>8</v>
      </c>
      <c r="I446" s="7">
        <v>3</v>
      </c>
      <c r="J446" s="26">
        <v>4</v>
      </c>
      <c r="K446" s="26"/>
      <c r="L446" s="26" t="s">
        <v>350</v>
      </c>
      <c r="M446" s="26" t="s">
        <v>351</v>
      </c>
      <c r="N446" s="9" t="str">
        <f>LEFT(INDEX('2026_PCH_PED_BMT_ALLO_RELATE'!$A$1:$E$30,MATCH($H446,'2026_PCH_PED_BMT_ALLO_RELATE'!$A$1:$A$30),MATCH(I446,'2026_PCH_PED_BMT_ALLO_RELATE'!$A$1:$D$1)),30)</f>
        <v>Days 11+/61+ paid at the per d</v>
      </c>
      <c r="O446" s="16">
        <v>7263.18</v>
      </c>
      <c r="P446" s="509">
        <f>O446*$Q$2</f>
        <v>8014.1928120000002</v>
      </c>
      <c r="Q446" s="14" t="s">
        <v>352</v>
      </c>
    </row>
    <row r="447" spans="1:17">
      <c r="A447" s="1" t="e">
        <f ca="1">'2026_PCH_PED_BMT_ALLO_RELATE'!$A$1</f>
        <v>#VALUE!</v>
      </c>
      <c r="B447" s="14" t="e">
        <f t="shared" ca="1" si="113"/>
        <v>#VALUE!</v>
      </c>
      <c r="C447" s="1" t="s">
        <v>372</v>
      </c>
      <c r="D447" s="4" t="e" cm="1">
        <f t="array" aca="1" ref="D447" ca="1">RIGHT(INDIRECT(ADDRESS(6,2,,,$A447)),6)</f>
        <v>#VALUE!</v>
      </c>
      <c r="E447" s="1" t="e" cm="1">
        <f t="array" aca="1" ref="E447" ca="1">RIGHT(INDIRECT(ADDRESS(4,2,,,$A447)),5)</f>
        <v>#VALUE!</v>
      </c>
      <c r="F447" s="22">
        <v>1.0335000000000001</v>
      </c>
      <c r="G447" s="22">
        <f t="shared" si="104"/>
        <v>1.0325</v>
      </c>
      <c r="H447" s="7">
        <v>9</v>
      </c>
      <c r="I447" s="7">
        <v>3</v>
      </c>
      <c r="J447" s="26">
        <v>4</v>
      </c>
      <c r="K447" s="26"/>
      <c r="L447" s="26" t="s">
        <v>350</v>
      </c>
      <c r="M447" s="26" t="s">
        <v>351</v>
      </c>
      <c r="N447" s="9" t="str">
        <f>LEFT(INDEX('2026_PCH_PED_BMT_ALLO_RELATE'!$A$1:$E$30,MATCH($H447,'2026_PCH_PED_BMT_ALLO_RELATE'!$A$1:$A$30),MATCH(I447,'2026_PCH_PED_BMT_ALLO_RELATE'!$A$1:$D$1)),30)</f>
        <v>Outliers:   Related Allogeneic</v>
      </c>
      <c r="O447" s="16">
        <v>1484770</v>
      </c>
      <c r="P447" s="507">
        <f t="shared" ref="P447" si="118">ROUND(O447*$G$2,0)</f>
        <v>1533025</v>
      </c>
      <c r="Q447" s="14" t="s">
        <v>353</v>
      </c>
    </row>
    <row r="448" spans="1:17">
      <c r="A448" s="1" t="e">
        <f ca="1">'2026_PCH_PED_BMT_ALLO_RELATE'!$A$1</f>
        <v>#VALUE!</v>
      </c>
      <c r="B448" s="14" t="e">
        <f t="shared" ca="1" si="113"/>
        <v>#VALUE!</v>
      </c>
      <c r="C448" s="1" t="s">
        <v>372</v>
      </c>
      <c r="D448" s="4" t="e" cm="1">
        <f t="array" aca="1" ref="D448" ca="1">RIGHT(INDIRECT(ADDRESS(6,2,,,$A448)),6)</f>
        <v>#VALUE!</v>
      </c>
      <c r="E448" s="1" t="e" cm="1">
        <f t="array" aca="1" ref="E448" ca="1">RIGHT(INDIRECT(ADDRESS(4,2,,,$A448)),5)</f>
        <v>#VALUE!</v>
      </c>
      <c r="F448" s="22">
        <v>1.0335000000000001</v>
      </c>
      <c r="G448" s="22">
        <f t="shared" si="104"/>
        <v>1.0325</v>
      </c>
      <c r="H448" s="7">
        <v>10</v>
      </c>
      <c r="I448" s="7">
        <v>3</v>
      </c>
      <c r="J448" s="26">
        <v>4</v>
      </c>
      <c r="K448" s="26"/>
      <c r="L448" s="26" t="s">
        <v>350</v>
      </c>
      <c r="M448" s="26" t="s">
        <v>351</v>
      </c>
      <c r="N448" s="9" t="str">
        <f>LEFT(INDEX('2026_PCH_PED_BMT_ALLO_RELATE'!$A$1:$E$30,MATCH($H448,'2026_PCH_PED_BMT_ALLO_RELATE'!$A$1:$A$30),MATCH(I448,'2026_PCH_PED_BMT_ALLO_RELATE'!$A$1:$D$1)),30)</f>
        <v>Rate Above Threshold</v>
      </c>
      <c r="O448" s="16">
        <v>0.5</v>
      </c>
      <c r="P448" s="507">
        <f t="shared" ref="P448" si="119">O448</f>
        <v>0.5</v>
      </c>
      <c r="Q448" s="14" t="s">
        <v>354</v>
      </c>
    </row>
    <row r="449" spans="1:17">
      <c r="A449" s="1" t="e">
        <f ca="1">'2026_PCH_PED_HAPLOID'!$A$1</f>
        <v>#VALUE!</v>
      </c>
      <c r="B449" s="14" t="e">
        <f t="shared" ca="1" si="113"/>
        <v>#VALUE!</v>
      </c>
      <c r="C449" s="1" t="s">
        <v>372</v>
      </c>
      <c r="D449" s="4" t="e" cm="1">
        <f t="array" aca="1" ref="D449" ca="1">RIGHT(INDIRECT(ADDRESS(6,2,,,$A449)),6)</f>
        <v>#VALUE!</v>
      </c>
      <c r="E449" s="1" t="e" cm="1">
        <f t="array" aca="1" ref="E449" ca="1">RIGHT(INDIRECT(ADDRESS(4,2,,,$A449)),5)</f>
        <v>#VALUE!</v>
      </c>
      <c r="F449" s="22">
        <v>1.0335000000000001</v>
      </c>
      <c r="G449" s="22">
        <f t="shared" si="104"/>
        <v>1.0325</v>
      </c>
      <c r="H449" s="7">
        <v>1</v>
      </c>
      <c r="I449" s="7">
        <v>3</v>
      </c>
      <c r="J449" s="26">
        <v>4</v>
      </c>
      <c r="K449" s="26"/>
      <c r="L449" s="26" t="s">
        <v>350</v>
      </c>
      <c r="M449" s="26" t="s">
        <v>351</v>
      </c>
      <c r="N449" s="9" t="str">
        <f>LEFT(INDEX('2026_PCH_PED_HAPLOID'!$A$1:$E$30,MATCH($H449,'2026_PCH_PED_HAPLOID'!$A$1:$A$30),MATCH(I449,'2026_PCH_PED_HAPLOID'!$A$1:$D$1)),30)</f>
        <v>OUTPATIENT EVALUATION* - Initi</v>
      </c>
      <c r="O449" s="16">
        <v>6443</v>
      </c>
      <c r="P449" s="507">
        <f t="shared" ref="P449:P455" si="120">ROUND(O449*$G$2,0)</f>
        <v>6652</v>
      </c>
    </row>
    <row r="450" spans="1:17">
      <c r="A450" s="1" t="e">
        <f ca="1">'2026_PCH_PED_HAPLOID'!$A$1</f>
        <v>#VALUE!</v>
      </c>
      <c r="B450" s="14" t="e">
        <f t="shared" ca="1" si="113"/>
        <v>#VALUE!</v>
      </c>
      <c r="C450" s="1" t="s">
        <v>372</v>
      </c>
      <c r="D450" s="4" t="e" cm="1">
        <f t="array" aca="1" ref="D450" ca="1">RIGHT(INDIRECT(ADDRESS(6,2,,,$A450)),6)</f>
        <v>#VALUE!</v>
      </c>
      <c r="E450" s="1" t="e" cm="1">
        <f t="array" aca="1" ref="E450" ca="1">RIGHT(INDIRECT(ADDRESS(4,2,,,$A450)),5)</f>
        <v>#VALUE!</v>
      </c>
      <c r="F450" s="22">
        <v>1.0335000000000001</v>
      </c>
      <c r="G450" s="22">
        <f t="shared" si="104"/>
        <v>1.0325</v>
      </c>
      <c r="H450" s="7">
        <v>2</v>
      </c>
      <c r="I450" s="7">
        <v>3</v>
      </c>
      <c r="J450" s="26">
        <v>4</v>
      </c>
      <c r="K450" s="26"/>
      <c r="L450" s="26" t="s">
        <v>350</v>
      </c>
      <c r="M450" s="26" t="s">
        <v>351</v>
      </c>
      <c r="N450" s="9" t="str">
        <f>LEFT(INDEX('2026_PCH_PED_HAPLOID'!$A$1:$E$30,MATCH($H450,'2026_PCH_PED_HAPLOID'!$A$1:$A$30),MATCH(I450,'2026_PCH_PED_HAPLOID'!$A$1:$D$1)),30)</f>
        <v>DONOR SEARCH *</v>
      </c>
      <c r="O450" s="16">
        <v>11374</v>
      </c>
      <c r="P450" s="507">
        <f t="shared" si="120"/>
        <v>11744</v>
      </c>
    </row>
    <row r="451" spans="1:17">
      <c r="A451" s="1" t="e">
        <f ca="1">'2026_PCH_PED_HAPLOID'!$A$1</f>
        <v>#VALUE!</v>
      </c>
      <c r="B451" s="14" t="e">
        <f t="shared" ca="1" si="113"/>
        <v>#VALUE!</v>
      </c>
      <c r="C451" s="1" t="s">
        <v>372</v>
      </c>
      <c r="D451" s="4" t="e" cm="1">
        <f t="array" aca="1" ref="D451" ca="1">RIGHT(INDIRECT(ADDRESS(6,2,,,$A451)),6)</f>
        <v>#VALUE!</v>
      </c>
      <c r="E451" s="1" t="e" cm="1">
        <f t="array" aca="1" ref="E451" ca="1">RIGHT(INDIRECT(ADDRESS(4,2,,,$A451)),5)</f>
        <v>#VALUE!</v>
      </c>
      <c r="F451" s="22">
        <v>1.0335000000000001</v>
      </c>
      <c r="G451" s="22">
        <f t="shared" si="104"/>
        <v>1.0325</v>
      </c>
      <c r="H451" s="7">
        <v>3</v>
      </c>
      <c r="I451" s="7">
        <v>3</v>
      </c>
      <c r="J451" s="26">
        <v>4</v>
      </c>
      <c r="K451" s="26"/>
      <c r="L451" s="26" t="s">
        <v>350</v>
      </c>
      <c r="M451" s="26" t="s">
        <v>351</v>
      </c>
      <c r="N451" s="9" t="str">
        <f>LEFT(INDEX('2026_PCH_PED_HAPLOID'!$A$1:$E$30,MATCH($H451,'2026_PCH_PED_HAPLOID'!$A$1:$A$30),MATCH(I451,'2026_PCH_PED_HAPLOID'!$A$1:$D$1)),30)</f>
        <v>DONOR HARVEST (includes stem c</v>
      </c>
      <c r="O451" s="16">
        <v>17125</v>
      </c>
      <c r="P451" s="507">
        <f t="shared" si="120"/>
        <v>17682</v>
      </c>
    </row>
    <row r="452" spans="1:17">
      <c r="A452" s="1" t="e">
        <f ca="1">'2026_PCH_PED_HAPLOID'!$A$1</f>
        <v>#VALUE!</v>
      </c>
      <c r="B452" s="14" t="e">
        <f t="shared" ca="1" si="113"/>
        <v>#VALUE!</v>
      </c>
      <c r="C452" s="1" t="s">
        <v>372</v>
      </c>
      <c r="D452" s="4" t="e" cm="1">
        <f t="array" aca="1" ref="D452" ca="1">RIGHT(INDIRECT(ADDRESS(6,2,,,$A452)),6)</f>
        <v>#VALUE!</v>
      </c>
      <c r="E452" s="1" t="e" cm="1">
        <f t="array" aca="1" ref="E452" ca="1">RIGHT(INDIRECT(ADDRESS(4,2,,,$A452)),5)</f>
        <v>#VALUE!</v>
      </c>
      <c r="F452" s="22">
        <v>1.0335000000000001</v>
      </c>
      <c r="G452" s="22">
        <f t="shared" si="104"/>
        <v>1.0325</v>
      </c>
      <c r="H452" s="7">
        <v>4</v>
      </c>
      <c r="I452" s="7">
        <v>3</v>
      </c>
      <c r="J452" s="26">
        <v>4</v>
      </c>
      <c r="K452" s="26"/>
      <c r="L452" s="26" t="s">
        <v>350</v>
      </c>
      <c r="M452" s="26" t="s">
        <v>351</v>
      </c>
      <c r="N452" s="9" t="str">
        <f>LEFT(INDEX('2026_PCH_PED_HAPLOID'!$A$1:$E$30,MATCH($H452,'2026_PCH_PED_HAPLOID'!$A$1:$A$30),MATCH(I452,'2026_PCH_PED_HAPLOID'!$A$1:$D$1)),30)</f>
        <v>PREP AND TRANSPLANT</v>
      </c>
      <c r="O452" s="16">
        <v>61950</v>
      </c>
      <c r="P452" s="507">
        <f t="shared" si="120"/>
        <v>63963</v>
      </c>
    </row>
    <row r="453" spans="1:17">
      <c r="A453" s="1" t="e">
        <f ca="1">'2026_PCH_PED_HAPLOID'!$A$1</f>
        <v>#VALUE!</v>
      </c>
      <c r="B453" s="14" t="e">
        <f t="shared" ca="1" si="113"/>
        <v>#VALUE!</v>
      </c>
      <c r="C453" s="1" t="s">
        <v>372</v>
      </c>
      <c r="D453" s="4" t="e" cm="1">
        <f t="array" aca="1" ref="D453" ca="1">RIGHT(INDIRECT(ADDRESS(6,2,,,$A453)),6)</f>
        <v>#VALUE!</v>
      </c>
      <c r="E453" s="1" t="e" cm="1">
        <f t="array" aca="1" ref="E453" ca="1">RIGHT(INDIRECT(ADDRESS(4,2,,,$A453)),5)</f>
        <v>#VALUE!</v>
      </c>
      <c r="F453" s="22">
        <v>1.0335000000000001</v>
      </c>
      <c r="G453" s="22">
        <f t="shared" ref="G453:G516" si="121">$G$2</f>
        <v>1.0325</v>
      </c>
      <c r="H453" s="7">
        <v>5</v>
      </c>
      <c r="I453" s="7">
        <v>3</v>
      </c>
      <c r="J453" s="26">
        <v>4</v>
      </c>
      <c r="K453" s="26"/>
      <c r="L453" s="26" t="s">
        <v>350</v>
      </c>
      <c r="M453" s="26" t="s">
        <v>351</v>
      </c>
      <c r="N453" s="9" t="str">
        <f>LEFT(INDEX('2026_PCH_PED_HAPLOID'!$A$1:$E$30,MATCH($H453,'2026_PCH_PED_HAPLOID'!$A$1:$A$30),MATCH(I453,'2026_PCH_PED_HAPLOID'!$A$1:$D$1)),30)</f>
        <v>FOLLOW UP CARE - From day 1 po</v>
      </c>
      <c r="O453" s="16">
        <v>97853</v>
      </c>
      <c r="P453" s="507">
        <f t="shared" si="120"/>
        <v>101033</v>
      </c>
    </row>
    <row r="454" spans="1:17">
      <c r="A454" s="1" t="e">
        <f ca="1">'2026_PCH_PED_HAPLOID'!$A$1</f>
        <v>#VALUE!</v>
      </c>
      <c r="B454" s="14" t="e">
        <f t="shared" ca="1" si="113"/>
        <v>#VALUE!</v>
      </c>
      <c r="C454" s="1" t="s">
        <v>372</v>
      </c>
      <c r="D454" s="4" t="e" cm="1">
        <f t="array" aca="1" ref="D454" ca="1">RIGHT(INDIRECT(ADDRESS(6,2,,,$A454)),6)</f>
        <v>#VALUE!</v>
      </c>
      <c r="E454" s="1" t="e" cm="1">
        <f t="array" aca="1" ref="E454" ca="1">RIGHT(INDIRECT(ADDRESS(4,2,,,$A454)),5)</f>
        <v>#VALUE!</v>
      </c>
      <c r="F454" s="22">
        <v>1.0335000000000001</v>
      </c>
      <c r="G454" s="22">
        <f t="shared" si="121"/>
        <v>1.0325</v>
      </c>
      <c r="H454" s="7">
        <v>6</v>
      </c>
      <c r="I454" s="7">
        <v>3</v>
      </c>
      <c r="J454" s="26">
        <v>4</v>
      </c>
      <c r="K454" s="26"/>
      <c r="L454" s="26" t="s">
        <v>350</v>
      </c>
      <c r="M454" s="26" t="s">
        <v>351</v>
      </c>
      <c r="N454" s="9" t="str">
        <f>LEFT(INDEX('2026_PCH_PED_HAPLOID'!$A$1:$E$30,MATCH($H454,'2026_PCH_PED_HAPLOID'!$A$1:$A$30),MATCH(I454,'2026_PCH_PED_HAPLOID'!$A$1:$D$1)),30)</f>
        <v xml:space="preserve">FOLLOW UP CARE - From day 31  </v>
      </c>
      <c r="O454" s="16">
        <v>32359</v>
      </c>
      <c r="P454" s="507">
        <f t="shared" si="120"/>
        <v>33411</v>
      </c>
    </row>
    <row r="455" spans="1:17">
      <c r="A455" s="1" t="e">
        <f ca="1">'2026_PCH_PED_HAPLOID'!$A$1</f>
        <v>#VALUE!</v>
      </c>
      <c r="B455" s="14" t="e">
        <f t="shared" ca="1" si="113"/>
        <v>#VALUE!</v>
      </c>
      <c r="C455" s="1" t="s">
        <v>372</v>
      </c>
      <c r="D455" s="4" t="e" cm="1">
        <f t="array" aca="1" ref="D455" ca="1">RIGHT(INDIRECT(ADDRESS(6,2,,,$A455)),6)</f>
        <v>#VALUE!</v>
      </c>
      <c r="E455" s="1" t="e" cm="1">
        <f t="array" aca="1" ref="E455" ca="1">RIGHT(INDIRECT(ADDRESS(4,2,,,$A455)),5)</f>
        <v>#VALUE!</v>
      </c>
      <c r="F455" s="22">
        <v>1.0335000000000001</v>
      </c>
      <c r="G455" s="22">
        <f t="shared" si="121"/>
        <v>1.0325</v>
      </c>
      <c r="H455" s="7">
        <v>7</v>
      </c>
      <c r="I455" s="7">
        <v>3</v>
      </c>
      <c r="J455" s="26">
        <v>4</v>
      </c>
      <c r="K455" s="26"/>
      <c r="L455" s="26" t="s">
        <v>350</v>
      </c>
      <c r="M455" s="26" t="s">
        <v>351</v>
      </c>
      <c r="N455" s="9" t="str">
        <f>LEFT(INDEX('2026_PCH_PED_HAPLOID'!$A$1:$E$30,MATCH($H455,'2026_PCH_PED_HAPLOID'!$A$1:$A$30),MATCH(I455,'2026_PCH_PED_HAPLOID'!$A$1:$D$1)),30)</f>
        <v xml:space="preserve">PER DIEM RATES for day 61+ of </v>
      </c>
      <c r="O455" s="16">
        <v>2474</v>
      </c>
      <c r="P455" s="507">
        <f t="shared" si="120"/>
        <v>2554</v>
      </c>
    </row>
    <row r="456" spans="1:17">
      <c r="A456" s="1" t="e">
        <f ca="1">'2026_PCH_PED_HAPLOID'!$A$1</f>
        <v>#VALUE!</v>
      </c>
      <c r="B456" s="14" t="e">
        <f t="shared" ca="1" si="113"/>
        <v>#VALUE!</v>
      </c>
      <c r="C456" s="1" t="s">
        <v>372</v>
      </c>
      <c r="D456" s="4" t="e" cm="1">
        <f t="array" aca="1" ref="D456" ca="1">RIGHT(INDIRECT(ADDRESS(6,2,,,$A456)),6)</f>
        <v>#VALUE!</v>
      </c>
      <c r="E456" s="1" t="e" cm="1">
        <f t="array" aca="1" ref="E456" ca="1">RIGHT(INDIRECT(ADDRESS(4,2,,,$A456)),5)</f>
        <v>#VALUE!</v>
      </c>
      <c r="F456" s="22">
        <v>1.0335000000000001</v>
      </c>
      <c r="G456" s="22">
        <f t="shared" si="121"/>
        <v>1.0325</v>
      </c>
      <c r="H456" s="7">
        <v>8</v>
      </c>
      <c r="I456" s="7">
        <v>3</v>
      </c>
      <c r="J456" s="26">
        <v>4</v>
      </c>
      <c r="K456" s="26"/>
      <c r="L456" s="26" t="s">
        <v>350</v>
      </c>
      <c r="M456" s="26" t="s">
        <v>351</v>
      </c>
      <c r="N456" s="9" t="str">
        <f>LEFT(INDEX('2026_PCH_PED_HAPLOID'!$A$1:$E$30,MATCH($H456,'2026_PCH_PED_HAPLOID'!$A$1:$A$30),MATCH(I456,'2026_PCH_PED_HAPLOID'!$A$1:$D$1)),30)</f>
        <v>Days 11+/61+ paid at the per d</v>
      </c>
      <c r="O456" s="16">
        <v>7263.18</v>
      </c>
      <c r="P456" s="509">
        <f>O456*$Q$2</f>
        <v>8014.1928120000002</v>
      </c>
      <c r="Q456" s="14" t="s">
        <v>352</v>
      </c>
    </row>
    <row r="457" spans="1:17">
      <c r="A457" s="1" t="e">
        <f ca="1">'2026_PCH_PED_HAPLOID'!$A$1</f>
        <v>#VALUE!</v>
      </c>
      <c r="B457" s="14" t="e">
        <f t="shared" ca="1" si="113"/>
        <v>#VALUE!</v>
      </c>
      <c r="C457" s="1" t="s">
        <v>372</v>
      </c>
      <c r="D457" s="4" t="e" cm="1">
        <f t="array" aca="1" ref="D457" ca="1">RIGHT(INDIRECT(ADDRESS(6,2,,,$A457)),6)</f>
        <v>#VALUE!</v>
      </c>
      <c r="E457" s="1" t="e" cm="1">
        <f t="array" aca="1" ref="E457" ca="1">RIGHT(INDIRECT(ADDRESS(4,2,,,$A457)),5)</f>
        <v>#VALUE!</v>
      </c>
      <c r="F457" s="22">
        <v>1.0335000000000001</v>
      </c>
      <c r="G457" s="22">
        <f t="shared" si="121"/>
        <v>1.0325</v>
      </c>
      <c r="H457" s="7">
        <v>9</v>
      </c>
      <c r="I457" s="7">
        <v>3</v>
      </c>
      <c r="J457" s="26">
        <v>4</v>
      </c>
      <c r="K457" s="26"/>
      <c r="L457" s="26" t="s">
        <v>350</v>
      </c>
      <c r="M457" s="26" t="s">
        <v>351</v>
      </c>
      <c r="N457" s="9" t="str">
        <f>LEFT(INDEX('2026_PCH_PED_HAPLOID'!$A$1:$E$30,MATCH($H457,'2026_PCH_PED_HAPLOID'!$A$1:$A$30),MATCH(I457,'2026_PCH_PED_HAPLOID'!$A$1:$D$1)),30)</f>
        <v xml:space="preserve">Outliers:  Haploid cases will </v>
      </c>
      <c r="O457" s="16">
        <v>249440</v>
      </c>
      <c r="P457" s="507">
        <f t="shared" ref="P457" si="122">ROUND(O457*$G$2,0)</f>
        <v>257547</v>
      </c>
      <c r="Q457" s="14" t="s">
        <v>353</v>
      </c>
    </row>
    <row r="458" spans="1:17">
      <c r="A458" s="1" t="e">
        <f ca="1">'2026_PCH_PED_HAPLOID'!$A$1</f>
        <v>#VALUE!</v>
      </c>
      <c r="B458" s="14" t="e">
        <f t="shared" ca="1" si="113"/>
        <v>#VALUE!</v>
      </c>
      <c r="C458" s="1" t="s">
        <v>372</v>
      </c>
      <c r="D458" s="4" t="e" cm="1">
        <f t="array" aca="1" ref="D458" ca="1">RIGHT(INDIRECT(ADDRESS(6,2,,,$A458)),6)</f>
        <v>#VALUE!</v>
      </c>
      <c r="E458" s="1" t="e" cm="1">
        <f t="array" aca="1" ref="E458" ca="1">RIGHT(INDIRECT(ADDRESS(4,2,,,$A458)),5)</f>
        <v>#VALUE!</v>
      </c>
      <c r="F458" s="22">
        <v>1.0335000000000001</v>
      </c>
      <c r="G458" s="22">
        <f t="shared" si="121"/>
        <v>1.0325</v>
      </c>
      <c r="H458" s="7">
        <v>10</v>
      </c>
      <c r="I458" s="7">
        <v>3</v>
      </c>
      <c r="J458" s="26"/>
      <c r="K458" s="26"/>
      <c r="L458" s="26"/>
      <c r="M458" s="26"/>
      <c r="N458" s="9" t="str">
        <f>LEFT(INDEX('2026_PCH_PED_HAPLOID'!$A$1:$E$30,MATCH($H458,'2026_PCH_PED_HAPLOID'!$A$1:$A$30),MATCH(I458,'2026_PCH_PED_HAPLOID'!$A$1:$D$1)),30)</f>
        <v>Rate Above Threshold</v>
      </c>
      <c r="O458" s="16" t="s">
        <v>373</v>
      </c>
      <c r="P458" s="507" t="s">
        <v>373</v>
      </c>
      <c r="Q458" s="14" t="s">
        <v>354</v>
      </c>
    </row>
    <row r="459" spans="1:17">
      <c r="A459" s="1" t="e">
        <f ca="1">'2026_PCH_PED_BMT_ALLO_UNREL'!$A$1</f>
        <v>#VALUE!</v>
      </c>
      <c r="B459" s="14" t="e">
        <f t="shared" ca="1" si="113"/>
        <v>#VALUE!</v>
      </c>
      <c r="C459" s="1" t="s">
        <v>372</v>
      </c>
      <c r="D459" s="4" t="e" cm="1">
        <f t="array" aca="1" ref="D459" ca="1">RIGHT(INDIRECT(ADDRESS(6,2,,,$A459)),6)</f>
        <v>#VALUE!</v>
      </c>
      <c r="E459" s="1" t="e" cm="1">
        <f t="array" aca="1" ref="E459" ca="1">RIGHT(INDIRECT(ADDRESS(4,2,,,$A459)),5)</f>
        <v>#VALUE!</v>
      </c>
      <c r="F459" s="22">
        <v>1.0335000000000001</v>
      </c>
      <c r="G459" s="22">
        <f t="shared" si="121"/>
        <v>1.0325</v>
      </c>
      <c r="H459" s="7">
        <v>1</v>
      </c>
      <c r="I459" s="7">
        <v>3</v>
      </c>
      <c r="J459" s="26">
        <v>4</v>
      </c>
      <c r="K459" s="26"/>
      <c r="L459" s="26" t="s">
        <v>350</v>
      </c>
      <c r="M459" s="26" t="s">
        <v>351</v>
      </c>
      <c r="N459" s="9" t="str">
        <f>LEFT(INDEX('2026_PCH_PED_BMT_ALLO_UNREL'!$A$1:$E$30,MATCH($H459,'2026_PCH_PED_BMT_ALLO_UNREL'!$A$1:$A$30),MATCH(I459,'2026_PCH_PED_BMT_ALLO_UNREL'!$A$1:$D$1)),30)</f>
        <v>OUTPATIENT EVALUATION* - Initi</v>
      </c>
      <c r="O459" s="16">
        <v>6583</v>
      </c>
      <c r="P459" s="507">
        <f t="shared" ref="P459:P460" si="123">ROUND(O459*$G$2,0)</f>
        <v>6797</v>
      </c>
    </row>
    <row r="460" spans="1:17">
      <c r="A460" s="1" t="e">
        <f ca="1">'2026_PCH_PED_BMT_ALLO_UNREL'!$A$1</f>
        <v>#VALUE!</v>
      </c>
      <c r="B460" s="14" t="e">
        <f t="shared" ca="1" si="113"/>
        <v>#VALUE!</v>
      </c>
      <c r="C460" s="1" t="s">
        <v>372</v>
      </c>
      <c r="D460" s="4" t="e" cm="1">
        <f t="array" aca="1" ref="D460" ca="1">RIGHT(INDIRECT(ADDRESS(6,2,,,$A460)),6)</f>
        <v>#VALUE!</v>
      </c>
      <c r="E460" s="1" t="e" cm="1">
        <f t="array" aca="1" ref="E460" ca="1">RIGHT(INDIRECT(ADDRESS(4,2,,,$A460)),5)</f>
        <v>#VALUE!</v>
      </c>
      <c r="F460" s="22">
        <v>1.0335000000000001</v>
      </c>
      <c r="G460" s="22">
        <f t="shared" si="121"/>
        <v>1.0325</v>
      </c>
      <c r="H460" s="7">
        <v>2</v>
      </c>
      <c r="I460" s="7">
        <v>3</v>
      </c>
      <c r="J460" s="26">
        <v>4</v>
      </c>
      <c r="K460" s="26"/>
      <c r="L460" s="26" t="s">
        <v>350</v>
      </c>
      <c r="M460" s="26" t="s">
        <v>351</v>
      </c>
      <c r="N460" s="9" t="str">
        <f>LEFT(INDEX('2026_PCH_PED_BMT_ALLO_UNREL'!$A$1:$E$30,MATCH($H460,'2026_PCH_PED_BMT_ALLO_UNREL'!$A$1:$A$30),MATCH(I460,'2026_PCH_PED_BMT_ALLO_UNREL'!$A$1:$D$1)),30)</f>
        <v>DONOR SEARCH</v>
      </c>
      <c r="O460" s="16">
        <v>11622</v>
      </c>
      <c r="P460" s="507">
        <f t="shared" si="123"/>
        <v>12000</v>
      </c>
    </row>
    <row r="461" spans="1:17">
      <c r="A461" s="1" t="e">
        <f ca="1">'2026_PCH_PED_BMT_ALLO_UNREL'!$A$1</f>
        <v>#VALUE!</v>
      </c>
      <c r="B461" s="14" t="e">
        <f t="shared" ca="1" si="113"/>
        <v>#VALUE!</v>
      </c>
      <c r="C461" s="1" t="s">
        <v>372</v>
      </c>
      <c r="D461" s="4" t="e" cm="1">
        <f t="array" aca="1" ref="D461" ca="1">RIGHT(INDIRECT(ADDRESS(6,2,,,$A461)),6)</f>
        <v>#VALUE!</v>
      </c>
      <c r="E461" s="1" t="e" cm="1">
        <f t="array" aca="1" ref="E461" ca="1">RIGHT(INDIRECT(ADDRESS(4,2,,,$A461)),5)</f>
        <v>#VALUE!</v>
      </c>
      <c r="F461" s="22">
        <v>1.0335000000000001</v>
      </c>
      <c r="G461" s="22">
        <f t="shared" si="121"/>
        <v>1.0325</v>
      </c>
      <c r="H461" s="7">
        <v>3</v>
      </c>
      <c r="I461" s="7">
        <v>3</v>
      </c>
      <c r="J461" s="26">
        <v>4</v>
      </c>
      <c r="K461" s="26"/>
      <c r="L461" s="26" t="s">
        <v>350</v>
      </c>
      <c r="M461" s="26" t="s">
        <v>351</v>
      </c>
      <c r="N461" s="9" t="str">
        <f>LEFT(INDEX('2026_PCH_PED_BMT_ALLO_UNREL'!$A$1:$E$30,MATCH($H461,'2026_PCH_PED_BMT_ALLO_UNREL'!$A$1:$A$30),MATCH(I461,'2026_PCH_PED_BMT_ALLO_UNREL'!$A$1:$D$1)),30)</f>
        <v>DONOR HARVEST (includes stem c</v>
      </c>
      <c r="O461" s="16" t="s">
        <v>355</v>
      </c>
      <c r="P461" s="507" t="str">
        <f t="shared" ref="P461" si="124">O461</f>
        <v>NBMD or Cord blood Invoice Cost</v>
      </c>
      <c r="Q461" s="14" t="s">
        <v>354</v>
      </c>
    </row>
    <row r="462" spans="1:17">
      <c r="A462" s="1" t="e">
        <f ca="1">'2026_PCH_PED_BMT_ALLO_UNREL'!$A$1</f>
        <v>#VALUE!</v>
      </c>
      <c r="B462" s="14" t="e">
        <f t="shared" ca="1" si="113"/>
        <v>#VALUE!</v>
      </c>
      <c r="C462" s="1" t="s">
        <v>372</v>
      </c>
      <c r="D462" s="4" t="e" cm="1">
        <f t="array" aca="1" ref="D462" ca="1">RIGHT(INDIRECT(ADDRESS(6,2,,,$A462)),6)</f>
        <v>#VALUE!</v>
      </c>
      <c r="E462" s="1" t="e" cm="1">
        <f t="array" aca="1" ref="E462" ca="1">RIGHT(INDIRECT(ADDRESS(4,2,,,$A462)),5)</f>
        <v>#VALUE!</v>
      </c>
      <c r="F462" s="22">
        <v>1.0335000000000001</v>
      </c>
      <c r="G462" s="22">
        <f t="shared" si="121"/>
        <v>1.0325</v>
      </c>
      <c r="H462" s="7">
        <v>4</v>
      </c>
      <c r="I462" s="7">
        <v>3</v>
      </c>
      <c r="J462" s="26">
        <v>4</v>
      </c>
      <c r="K462" s="26"/>
      <c r="L462" s="26" t="s">
        <v>350</v>
      </c>
      <c r="M462" s="26" t="s">
        <v>351</v>
      </c>
      <c r="N462" s="9" t="str">
        <f>LEFT(INDEX('2026_PCH_PED_BMT_ALLO_UNREL'!$A$1:$E$30,MATCH($H462,'2026_PCH_PED_BMT_ALLO_UNREL'!$A$1:$A$30),MATCH(I462,'2026_PCH_PED_BMT_ALLO_UNREL'!$A$1:$D$1)),30)</f>
        <v>PREP AND TRANSPLANT</v>
      </c>
      <c r="O462" s="16">
        <v>63311</v>
      </c>
      <c r="P462" s="507">
        <f t="shared" ref="P462:P465" si="125">ROUND(O462*$G$2,0)</f>
        <v>65369</v>
      </c>
    </row>
    <row r="463" spans="1:17">
      <c r="A463" s="1" t="e">
        <f ca="1">'2026_PCH_PED_BMT_ALLO_UNREL'!$A$1</f>
        <v>#VALUE!</v>
      </c>
      <c r="B463" s="14" t="e">
        <f t="shared" ca="1" si="113"/>
        <v>#VALUE!</v>
      </c>
      <c r="C463" s="1" t="s">
        <v>372</v>
      </c>
      <c r="D463" s="4" t="e" cm="1">
        <f t="array" aca="1" ref="D463" ca="1">RIGHT(INDIRECT(ADDRESS(6,2,,,$A463)),6)</f>
        <v>#VALUE!</v>
      </c>
      <c r="E463" s="1" t="e" cm="1">
        <f t="array" aca="1" ref="E463" ca="1">RIGHT(INDIRECT(ADDRESS(4,2,,,$A463)),5)</f>
        <v>#VALUE!</v>
      </c>
      <c r="F463" s="22">
        <v>1.0335000000000001</v>
      </c>
      <c r="G463" s="22">
        <f t="shared" si="121"/>
        <v>1.0325</v>
      </c>
      <c r="H463" s="7">
        <v>5</v>
      </c>
      <c r="I463" s="7">
        <v>3</v>
      </c>
      <c r="J463" s="26">
        <v>4</v>
      </c>
      <c r="K463" s="26"/>
      <c r="L463" s="26" t="s">
        <v>350</v>
      </c>
      <c r="M463" s="26" t="s">
        <v>351</v>
      </c>
      <c r="N463" s="9" t="str">
        <f>LEFT(INDEX('2026_PCH_PED_BMT_ALLO_UNREL'!$A$1:$E$30,MATCH($H463,'2026_PCH_PED_BMT_ALLO_UNREL'!$A$1:$A$30),MATCH(I463,'2026_PCH_PED_BMT_ALLO_UNREL'!$A$1:$D$1)),30)</f>
        <v>FOLLOW UP CARE - From day 1 po</v>
      </c>
      <c r="O463" s="16">
        <v>100006</v>
      </c>
      <c r="P463" s="507">
        <f t="shared" si="125"/>
        <v>103256</v>
      </c>
    </row>
    <row r="464" spans="1:17">
      <c r="A464" s="1" t="e">
        <f ca="1">'2026_PCH_PED_BMT_ALLO_UNREL'!$A$1</f>
        <v>#VALUE!</v>
      </c>
      <c r="B464" s="14" t="e">
        <f t="shared" ca="1" si="113"/>
        <v>#VALUE!</v>
      </c>
      <c r="C464" s="1" t="s">
        <v>372</v>
      </c>
      <c r="D464" s="4" t="e" cm="1">
        <f t="array" aca="1" ref="D464" ca="1">RIGHT(INDIRECT(ADDRESS(6,2,,,$A464)),6)</f>
        <v>#VALUE!</v>
      </c>
      <c r="E464" s="1" t="e" cm="1">
        <f t="array" aca="1" ref="E464" ca="1">RIGHT(INDIRECT(ADDRESS(4,2,,,$A464)),5)</f>
        <v>#VALUE!</v>
      </c>
      <c r="F464" s="22">
        <v>1.0335000000000001</v>
      </c>
      <c r="G464" s="22">
        <f t="shared" si="121"/>
        <v>1.0325</v>
      </c>
      <c r="H464" s="7">
        <v>6</v>
      </c>
      <c r="I464" s="7">
        <v>3</v>
      </c>
      <c r="J464" s="26">
        <v>4</v>
      </c>
      <c r="K464" s="26"/>
      <c r="L464" s="26" t="s">
        <v>350</v>
      </c>
      <c r="M464" s="26" t="s">
        <v>351</v>
      </c>
      <c r="N464" s="9" t="str">
        <f>LEFT(INDEX('2026_PCH_PED_BMT_ALLO_UNREL'!$A$1:$E$30,MATCH($H464,'2026_PCH_PED_BMT_ALLO_UNREL'!$A$1:$A$30),MATCH(I464,'2026_PCH_PED_BMT_ALLO_UNREL'!$A$1:$D$1)),30)</f>
        <v xml:space="preserve">FOLLOW UP CARE - From day 31  </v>
      </c>
      <c r="O464" s="16">
        <v>33071</v>
      </c>
      <c r="P464" s="507">
        <f t="shared" si="125"/>
        <v>34146</v>
      </c>
    </row>
    <row r="465" spans="1:17">
      <c r="A465" s="1" t="e">
        <f ca="1">'2026_PCH_PED_BMT_ALLO_UNREL'!$A$1</f>
        <v>#VALUE!</v>
      </c>
      <c r="B465" s="14" t="e">
        <f t="shared" ca="1" si="113"/>
        <v>#VALUE!</v>
      </c>
      <c r="C465" s="1" t="s">
        <v>372</v>
      </c>
      <c r="D465" s="4" t="e" cm="1">
        <f t="array" aca="1" ref="D465" ca="1">RIGHT(INDIRECT(ADDRESS(6,2,,,$A465)),6)</f>
        <v>#VALUE!</v>
      </c>
      <c r="E465" s="1" t="e" cm="1">
        <f t="array" aca="1" ref="E465" ca="1">RIGHT(INDIRECT(ADDRESS(4,2,,,$A465)),5)</f>
        <v>#VALUE!</v>
      </c>
      <c r="F465" s="22">
        <v>1.0335000000000001</v>
      </c>
      <c r="G465" s="22">
        <f t="shared" si="121"/>
        <v>1.0325</v>
      </c>
      <c r="H465" s="7">
        <v>7</v>
      </c>
      <c r="I465" s="7">
        <v>3</v>
      </c>
      <c r="J465" s="26">
        <v>4</v>
      </c>
      <c r="K465" s="26"/>
      <c r="L465" s="26" t="s">
        <v>350</v>
      </c>
      <c r="M465" s="26" t="s">
        <v>351</v>
      </c>
      <c r="N465" s="9" t="str">
        <f>LEFT(INDEX('2026_PCH_PED_BMT_ALLO_UNREL'!$A$1:$E$30,MATCH($H465,'2026_PCH_PED_BMT_ALLO_UNREL'!$A$1:$A$30),MATCH(I465,'2026_PCH_PED_BMT_ALLO_UNREL'!$A$1:$D$1)),30)</f>
        <v xml:space="preserve">PER DIEM RATES for day 61+ of </v>
      </c>
      <c r="O465" s="16">
        <v>2474</v>
      </c>
      <c r="P465" s="507">
        <f t="shared" si="125"/>
        <v>2554</v>
      </c>
    </row>
    <row r="466" spans="1:17">
      <c r="A466" s="1" t="e">
        <f ca="1">'2026_PCH_PED_BMT_ALLO_UNREL'!$A$1</f>
        <v>#VALUE!</v>
      </c>
      <c r="B466" s="14" t="e">
        <f t="shared" ca="1" si="113"/>
        <v>#VALUE!</v>
      </c>
      <c r="C466" s="1" t="s">
        <v>372</v>
      </c>
      <c r="D466" s="4" t="e" cm="1">
        <f t="array" aca="1" ref="D466" ca="1">RIGHT(INDIRECT(ADDRESS(6,2,,,$A466)),6)</f>
        <v>#VALUE!</v>
      </c>
      <c r="E466" s="1" t="e" cm="1">
        <f t="array" aca="1" ref="E466" ca="1">RIGHT(INDIRECT(ADDRESS(4,2,,,$A466)),5)</f>
        <v>#VALUE!</v>
      </c>
      <c r="F466" s="22">
        <v>1.0335000000000001</v>
      </c>
      <c r="G466" s="22">
        <f t="shared" si="121"/>
        <v>1.0325</v>
      </c>
      <c r="H466" s="7">
        <v>8</v>
      </c>
      <c r="I466" s="7">
        <v>3</v>
      </c>
      <c r="J466" s="26">
        <v>4</v>
      </c>
      <c r="K466" s="26"/>
      <c r="L466" s="26" t="s">
        <v>350</v>
      </c>
      <c r="M466" s="26" t="s">
        <v>351</v>
      </c>
      <c r="N466" s="9" t="str">
        <f>LEFT(INDEX('2026_PCH_PED_BMT_ALLO_UNREL'!$A$1:$E$30,MATCH($H466,'2026_PCH_PED_BMT_ALLO_UNREL'!$A$1:$A$30),MATCH(I466,'2026_PCH_PED_BMT_ALLO_UNREL'!$A$1:$D$1)),30)</f>
        <v>Days 11+/61+ paid at the per d</v>
      </c>
      <c r="O466" s="16">
        <v>7263.18</v>
      </c>
      <c r="P466" s="509">
        <f>O466*$Q$2</f>
        <v>8014.1928120000002</v>
      </c>
      <c r="Q466" s="14" t="s">
        <v>352</v>
      </c>
    </row>
    <row r="467" spans="1:17">
      <c r="A467" s="1" t="e">
        <f ca="1">'2026_PCH_PED_BMT_ALLO_UNREL'!$A$1</f>
        <v>#VALUE!</v>
      </c>
      <c r="B467" s="14" t="e">
        <f t="shared" ca="1" si="113"/>
        <v>#VALUE!</v>
      </c>
      <c r="C467" s="1" t="s">
        <v>372</v>
      </c>
      <c r="D467" s="4" t="e" cm="1">
        <f t="array" aca="1" ref="D467" ca="1">RIGHT(INDIRECT(ADDRESS(6,2,,,$A467)),6)</f>
        <v>#VALUE!</v>
      </c>
      <c r="E467" s="1" t="e" cm="1">
        <f t="array" aca="1" ref="E467" ca="1">RIGHT(INDIRECT(ADDRESS(4,2,,,$A467)),5)</f>
        <v>#VALUE!</v>
      </c>
      <c r="F467" s="22">
        <v>1.0335000000000001</v>
      </c>
      <c r="G467" s="22">
        <f t="shared" si="121"/>
        <v>1.0325</v>
      </c>
      <c r="H467" s="7">
        <v>9</v>
      </c>
      <c r="I467" s="7">
        <v>3</v>
      </c>
      <c r="J467" s="26">
        <v>4</v>
      </c>
      <c r="K467" s="26"/>
      <c r="L467" s="26" t="s">
        <v>350</v>
      </c>
      <c r="M467" s="26" t="s">
        <v>351</v>
      </c>
      <c r="N467" s="21" t="str">
        <f>LEFT(INDEX('2026_PCH_PED_BMT_ALLO_UNREL'!$A$1:$E$30,MATCH($H467,'2026_PCH_PED_BMT_ALLO_UNREL'!$A$1:$A$30),MATCH(I467,'2026_PCH_PED_BMT_ALLO_UNREL'!$A$1:$D$1)),30)</f>
        <v>Outliers:  Matched Unrelated a</v>
      </c>
      <c r="O467" s="16">
        <v>273197</v>
      </c>
      <c r="P467" s="510">
        <f t="shared" ref="P467" si="126">ROUND(O467*$G$2,0)</f>
        <v>282076</v>
      </c>
      <c r="Q467" s="14" t="s">
        <v>353</v>
      </c>
    </row>
    <row r="468" spans="1:17">
      <c r="A468" s="1" t="e">
        <f ca="1">'2026_PCH_PED_BMT_ALLO_UNREL'!$A$1</f>
        <v>#VALUE!</v>
      </c>
      <c r="B468" s="14" t="e">
        <f t="shared" ca="1" si="113"/>
        <v>#VALUE!</v>
      </c>
      <c r="C468" s="1" t="s">
        <v>372</v>
      </c>
      <c r="D468" s="4" t="e" cm="1">
        <f t="array" aca="1" ref="D468" ca="1">RIGHT(INDIRECT(ADDRESS(6,2,,,$A468)),6)</f>
        <v>#VALUE!</v>
      </c>
      <c r="E468" s="1" t="e" cm="1">
        <f t="array" aca="1" ref="E468" ca="1">RIGHT(INDIRECT(ADDRESS(4,2,,,$A468)),5)</f>
        <v>#VALUE!</v>
      </c>
      <c r="F468" s="22">
        <v>1.0335000000000001</v>
      </c>
      <c r="G468" s="22">
        <f t="shared" si="121"/>
        <v>1.0325</v>
      </c>
      <c r="H468" s="7">
        <v>10</v>
      </c>
      <c r="I468" s="7">
        <v>3</v>
      </c>
      <c r="J468" s="26">
        <v>4</v>
      </c>
      <c r="K468" s="26"/>
      <c r="L468" s="26" t="s">
        <v>350</v>
      </c>
      <c r="M468" s="26" t="s">
        <v>351</v>
      </c>
      <c r="N468" s="9" t="str">
        <f>LEFT(INDEX('2026_PCH_PED_BMT_ALLO_UNREL'!$A$1:$E$30,MATCH($H468,'2026_PCH_PED_BMT_ALLO_UNREL'!$A$1:$A$30),MATCH(I468,'2026_PCH_PED_BMT_ALLO_UNREL'!$A$1:$D$1)),30)</f>
        <v>Rate Above Threshold</v>
      </c>
      <c r="O468" s="16">
        <v>0.5</v>
      </c>
      <c r="P468" s="507">
        <f t="shared" ref="P468" si="127">O468</f>
        <v>0.5</v>
      </c>
      <c r="Q468" s="14" t="s">
        <v>354</v>
      </c>
    </row>
    <row r="469" spans="1:17">
      <c r="A469" s="1" t="e">
        <f ca="1">'2026_PCH_BMT_AUT_ADULT'!$A$1</f>
        <v>#VALUE!</v>
      </c>
      <c r="B469" s="14" t="e">
        <f t="shared" ca="1" si="113"/>
        <v>#VALUE!</v>
      </c>
      <c r="C469" s="1" t="s">
        <v>372</v>
      </c>
      <c r="D469" s="5" t="e" cm="1">
        <f t="array" aca="1" ref="D469" ca="1">RIGHT(INDIRECT(ADDRESS(7,2,,,$A469)),6)</f>
        <v>#VALUE!</v>
      </c>
      <c r="E469" s="1" t="e" cm="1">
        <f t="array" aca="1" ref="E469" ca="1">RIGHT(INDIRECT(ADDRESS(4,2,,,$A469)),5)</f>
        <v>#VALUE!</v>
      </c>
      <c r="F469" s="22">
        <v>1.0335000000000001</v>
      </c>
      <c r="G469" s="22">
        <f t="shared" si="121"/>
        <v>1.0325</v>
      </c>
      <c r="H469" s="7">
        <v>1</v>
      </c>
      <c r="I469" s="7">
        <v>3</v>
      </c>
      <c r="J469" s="26">
        <v>4</v>
      </c>
      <c r="K469" s="26"/>
      <c r="L469" s="26" t="s">
        <v>350</v>
      </c>
      <c r="M469" s="26" t="s">
        <v>351</v>
      </c>
      <c r="N469" s="9" t="str">
        <f>LEFT(INDEX('2026_PCH_BMT_AUT_ADULT'!$A$1:$E$30,MATCH($H469,'2026_PCH_BMT_AUT_ADULT'!$A$1:$A$30),MATCH(I469,'2026_PCH_BMT_AUT_ADULT'!$A$1:$D$1)),30)</f>
        <v>OUTPATIENT EVALUATION* - Initi</v>
      </c>
      <c r="O469" s="16">
        <v>6304</v>
      </c>
      <c r="P469" s="507">
        <f t="shared" ref="P469:P474" si="128">ROUND(O469*$G$2,0)</f>
        <v>6509</v>
      </c>
    </row>
    <row r="470" spans="1:17">
      <c r="A470" s="1" t="e">
        <f ca="1">'2026_PCH_BMT_AUT_ADULT'!$A$1</f>
        <v>#VALUE!</v>
      </c>
      <c r="B470" s="14" t="e">
        <f t="shared" ca="1" si="113"/>
        <v>#VALUE!</v>
      </c>
      <c r="C470" s="1" t="s">
        <v>372</v>
      </c>
      <c r="D470" s="5" t="e" cm="1">
        <f t="array" aca="1" ref="D470" ca="1">RIGHT(INDIRECT(ADDRESS(7,2,,,$A470)),6)</f>
        <v>#VALUE!</v>
      </c>
      <c r="E470" s="1" t="e" cm="1">
        <f t="array" aca="1" ref="E470" ca="1">RIGHT(INDIRECT(ADDRESS(4,2,,,$A470)),5)</f>
        <v>#VALUE!</v>
      </c>
      <c r="F470" s="22">
        <v>1.0335000000000001</v>
      </c>
      <c r="G470" s="22">
        <f t="shared" si="121"/>
        <v>1.0325</v>
      </c>
      <c r="H470" s="7">
        <v>2</v>
      </c>
      <c r="I470" s="7">
        <v>3</v>
      </c>
      <c r="J470" s="26">
        <v>4</v>
      </c>
      <c r="K470" s="26"/>
      <c r="L470" s="26" t="s">
        <v>350</v>
      </c>
      <c r="M470" s="26" t="s">
        <v>351</v>
      </c>
      <c r="N470" s="9" t="str">
        <f>LEFT(INDEX('2026_PCH_BMT_AUT_ADULT'!$A$1:$E$30,MATCH($H470,'2026_PCH_BMT_AUT_ADULT'!$A$1:$A$30),MATCH(I470,'2026_PCH_BMT_AUT_ADULT'!$A$1:$D$1)),30)</f>
        <v>AUTOLOGOUS HARVEST</v>
      </c>
      <c r="O470" s="16">
        <v>16607</v>
      </c>
      <c r="P470" s="507">
        <f t="shared" si="128"/>
        <v>17147</v>
      </c>
    </row>
    <row r="471" spans="1:17">
      <c r="A471" s="1" t="e">
        <f ca="1">'2026_PCH_BMT_AUT_ADULT'!$A$1</f>
        <v>#VALUE!</v>
      </c>
      <c r="B471" s="14" t="e">
        <f t="shared" ca="1" si="113"/>
        <v>#VALUE!</v>
      </c>
      <c r="C471" s="1" t="s">
        <v>372</v>
      </c>
      <c r="D471" s="5" t="e" cm="1">
        <f t="array" aca="1" ref="D471" ca="1">RIGHT(INDIRECT(ADDRESS(7,2,,,$A471)),6)</f>
        <v>#VALUE!</v>
      </c>
      <c r="E471" s="1" t="e" cm="1">
        <f t="array" aca="1" ref="E471" ca="1">RIGHT(INDIRECT(ADDRESS(4,2,,,$A471)),5)</f>
        <v>#VALUE!</v>
      </c>
      <c r="F471" s="22">
        <v>1.0335000000000001</v>
      </c>
      <c r="G471" s="22">
        <f t="shared" si="121"/>
        <v>1.0325</v>
      </c>
      <c r="H471" s="7">
        <v>3</v>
      </c>
      <c r="I471" s="7">
        <v>3</v>
      </c>
      <c r="J471" s="26">
        <v>4</v>
      </c>
      <c r="K471" s="26"/>
      <c r="L471" s="26" t="s">
        <v>350</v>
      </c>
      <c r="M471" s="26" t="s">
        <v>351</v>
      </c>
      <c r="N471" s="9" t="str">
        <f>LEFT(INDEX('2026_PCH_BMT_AUT_ADULT'!$A$1:$E$30,MATCH($H471,'2026_PCH_BMT_AUT_ADULT'!$A$1:$A$30),MATCH(I471,'2026_PCH_BMT_AUT_ADULT'!$A$1:$D$1)),30)</f>
        <v>PREP AND TRANSPLANT</v>
      </c>
      <c r="O471" s="16">
        <v>61835</v>
      </c>
      <c r="P471" s="507">
        <f t="shared" si="128"/>
        <v>63845</v>
      </c>
    </row>
    <row r="472" spans="1:17">
      <c r="A472" s="1" t="e">
        <f ca="1">'2026_PCH_BMT_AUT_ADULT'!$A$1</f>
        <v>#VALUE!</v>
      </c>
      <c r="B472" s="14" t="e">
        <f t="shared" ca="1" si="113"/>
        <v>#VALUE!</v>
      </c>
      <c r="C472" s="1" t="s">
        <v>372</v>
      </c>
      <c r="D472" s="5" t="e" cm="1">
        <f t="array" aca="1" ref="D472" ca="1">RIGHT(INDIRECT(ADDRESS(7,2,,,$A472)),6)</f>
        <v>#VALUE!</v>
      </c>
      <c r="E472" s="1" t="e" cm="1">
        <f t="array" aca="1" ref="E472" ca="1">RIGHT(INDIRECT(ADDRESS(4,2,,,$A472)),5)</f>
        <v>#VALUE!</v>
      </c>
      <c r="F472" s="22">
        <v>1.0335000000000001</v>
      </c>
      <c r="G472" s="22">
        <f t="shared" si="121"/>
        <v>1.0325</v>
      </c>
      <c r="H472" s="7">
        <v>4</v>
      </c>
      <c r="I472" s="7">
        <v>3</v>
      </c>
      <c r="J472" s="26">
        <v>4</v>
      </c>
      <c r="K472" s="26"/>
      <c r="L472" s="26" t="s">
        <v>350</v>
      </c>
      <c r="M472" s="26" t="s">
        <v>351</v>
      </c>
      <c r="N472" s="9" t="str">
        <f>LEFT(INDEX('2026_PCH_BMT_AUT_ADULT'!$A$1:$E$30,MATCH($H472,'2026_PCH_BMT_AUT_ADULT'!$A$1:$A$30),MATCH(I472,'2026_PCH_BMT_AUT_ADULT'!$A$1:$D$1)),30)</f>
        <v>FOLLOW UP CARE - From day 1 po</v>
      </c>
      <c r="O472" s="16">
        <v>83833</v>
      </c>
      <c r="P472" s="507">
        <f t="shared" si="128"/>
        <v>86558</v>
      </c>
    </row>
    <row r="473" spans="1:17">
      <c r="A473" s="1" t="e">
        <f ca="1">'2026_PCH_BMT_AUT_ADULT'!$A$1</f>
        <v>#VALUE!</v>
      </c>
      <c r="B473" s="14" t="e">
        <f t="shared" ca="1" si="113"/>
        <v>#VALUE!</v>
      </c>
      <c r="C473" s="1" t="s">
        <v>372</v>
      </c>
      <c r="D473" s="5" t="e" cm="1">
        <f t="array" aca="1" ref="D473" ca="1">RIGHT(INDIRECT(ADDRESS(7,2,,,$A473)),6)</f>
        <v>#VALUE!</v>
      </c>
      <c r="E473" s="1" t="e" cm="1">
        <f t="array" aca="1" ref="E473" ca="1">RIGHT(INDIRECT(ADDRESS(4,2,,,$A473)),5)</f>
        <v>#VALUE!</v>
      </c>
      <c r="F473" s="22">
        <v>1.0335000000000001</v>
      </c>
      <c r="G473" s="22">
        <f t="shared" si="121"/>
        <v>1.0325</v>
      </c>
      <c r="H473" s="7">
        <v>5</v>
      </c>
      <c r="I473" s="7">
        <v>3</v>
      </c>
      <c r="J473" s="26">
        <v>4</v>
      </c>
      <c r="K473" s="26"/>
      <c r="L473" s="26" t="s">
        <v>350</v>
      </c>
      <c r="M473" s="26" t="s">
        <v>351</v>
      </c>
      <c r="N473" s="9" t="str">
        <f>LEFT(INDEX('2026_PCH_BMT_AUT_ADULT'!$A$1:$E$30,MATCH($H473,'2026_PCH_BMT_AUT_ADULT'!$A$1:$A$30),MATCH(I473,'2026_PCH_BMT_AUT_ADULT'!$A$1:$D$1)),30)</f>
        <v xml:space="preserve">FOLLOW UP CARE - From day 31  </v>
      </c>
      <c r="O473" s="16">
        <v>11908</v>
      </c>
      <c r="P473" s="507">
        <f t="shared" si="128"/>
        <v>12295</v>
      </c>
    </row>
    <row r="474" spans="1:17">
      <c r="A474" s="1" t="e">
        <f ca="1">'2026_PCH_BMT_AUT_ADULT'!$A$1</f>
        <v>#VALUE!</v>
      </c>
      <c r="B474" s="14" t="e">
        <f t="shared" ca="1" si="113"/>
        <v>#VALUE!</v>
      </c>
      <c r="C474" s="1" t="s">
        <v>372</v>
      </c>
      <c r="D474" s="5" t="e" cm="1">
        <f t="array" aca="1" ref="D474" ca="1">RIGHT(INDIRECT(ADDRESS(7,2,,,$A474)),6)</f>
        <v>#VALUE!</v>
      </c>
      <c r="E474" s="1" t="e" cm="1">
        <f t="array" aca="1" ref="E474" ca="1">RIGHT(INDIRECT(ADDRESS(4,2,,,$A474)),5)</f>
        <v>#VALUE!</v>
      </c>
      <c r="F474" s="22">
        <v>1.0335000000000001</v>
      </c>
      <c r="G474" s="22">
        <f t="shared" si="121"/>
        <v>1.0325</v>
      </c>
      <c r="H474" s="7">
        <v>6</v>
      </c>
      <c r="I474" s="7">
        <v>3</v>
      </c>
      <c r="J474" s="26">
        <v>4</v>
      </c>
      <c r="K474" s="26"/>
      <c r="L474" s="26" t="s">
        <v>350</v>
      </c>
      <c r="M474" s="26" t="s">
        <v>351</v>
      </c>
      <c r="N474" s="9" t="str">
        <f>LEFT(INDEX('2026_PCH_BMT_AUT_ADULT'!$A$1:$E$30,MATCH($H474,'2026_PCH_BMT_AUT_ADULT'!$A$1:$A$30),MATCH(I474,'2026_PCH_BMT_AUT_ADULT'!$A$1:$D$1)),30)</f>
        <v xml:space="preserve">PER DIEM RATES for day 61+ of </v>
      </c>
      <c r="O474" s="16">
        <v>2474</v>
      </c>
      <c r="P474" s="507">
        <f t="shared" si="128"/>
        <v>2554</v>
      </c>
    </row>
    <row r="475" spans="1:17">
      <c r="A475" s="1" t="e">
        <f ca="1">'2026_PCH_BMT_AUT_ADULT'!$A$1</f>
        <v>#VALUE!</v>
      </c>
      <c r="B475" s="14" t="e">
        <f t="shared" ca="1" si="113"/>
        <v>#VALUE!</v>
      </c>
      <c r="C475" s="1" t="s">
        <v>372</v>
      </c>
      <c r="D475" s="5" t="e" cm="1">
        <f t="array" aca="1" ref="D475" ca="1">RIGHT(INDIRECT(ADDRESS(7,2,,,$A475)),6)</f>
        <v>#VALUE!</v>
      </c>
      <c r="E475" s="1" t="e" cm="1">
        <f t="array" aca="1" ref="E475" ca="1">RIGHT(INDIRECT(ADDRESS(4,2,,,$A475)),5)</f>
        <v>#VALUE!</v>
      </c>
      <c r="F475" s="22">
        <v>1.0335000000000001</v>
      </c>
      <c r="G475" s="22">
        <f t="shared" si="121"/>
        <v>1.0325</v>
      </c>
      <c r="H475" s="7">
        <v>7</v>
      </c>
      <c r="I475" s="7">
        <v>3</v>
      </c>
      <c r="J475" s="26">
        <v>4</v>
      </c>
      <c r="K475" s="26"/>
      <c r="L475" s="26" t="s">
        <v>350</v>
      </c>
      <c r="M475" s="26" t="s">
        <v>351</v>
      </c>
      <c r="N475" s="9" t="str">
        <f>LEFT(INDEX('2026_PCH_BMT_AUT_ADULT'!$A$1:$E$30,MATCH($H475,'2026_PCH_BMT_AUT_ADULT'!$A$1:$A$30),MATCH(I475,'2026_PCH_BMT_AUT_ADULT'!$A$1:$D$1)),30)</f>
        <v>Days 11+/61+ paid at the per d</v>
      </c>
      <c r="O475" s="16">
        <v>7263.18</v>
      </c>
      <c r="P475" s="509">
        <f>O475*$Q$2</f>
        <v>8014.1928120000002</v>
      </c>
      <c r="Q475" s="14" t="s">
        <v>352</v>
      </c>
    </row>
    <row r="476" spans="1:17">
      <c r="A476" s="1" t="e">
        <f ca="1">'2026_PCH_BMT_ADULT_ALLO_REL'!$A$1</f>
        <v>#VALUE!</v>
      </c>
      <c r="B476" s="14" t="e">
        <f t="shared" ca="1" si="113"/>
        <v>#VALUE!</v>
      </c>
      <c r="C476" s="1" t="s">
        <v>372</v>
      </c>
      <c r="D476" s="5" t="e" cm="1">
        <f t="array" aca="1" ref="D476" ca="1">RIGHT(INDIRECT(ADDRESS(7,2,,,$A476)),6)</f>
        <v>#VALUE!</v>
      </c>
      <c r="E476" s="1" t="e" cm="1">
        <f t="array" aca="1" ref="E476" ca="1">RIGHT(INDIRECT(ADDRESS(4,2,,,$A476)),5)</f>
        <v>#VALUE!</v>
      </c>
      <c r="F476" s="22">
        <v>1.0335000000000001</v>
      </c>
      <c r="G476" s="22">
        <f t="shared" si="121"/>
        <v>1.0325</v>
      </c>
      <c r="H476" s="7">
        <v>1</v>
      </c>
      <c r="I476" s="7">
        <v>3</v>
      </c>
      <c r="J476" s="26">
        <v>4</v>
      </c>
      <c r="K476" s="26"/>
      <c r="L476" s="26" t="s">
        <v>350</v>
      </c>
      <c r="M476" s="26" t="s">
        <v>351</v>
      </c>
      <c r="N476" s="9" t="str">
        <f>LEFT(INDEX('2026_PCH_BMT_ADULT_ALLO_REL'!$A$1:$E$30,MATCH($H476,'2026_PCH_BMT_ADULT_ALLO_REL'!$A$1:$A$30),MATCH(I476,'2026_PCH_BMT_ADULT_ALLO_REL'!$A$1:$D$1)),30)</f>
        <v>OUTPATIENT EVALUATION* - Initi</v>
      </c>
      <c r="O476" s="9">
        <v>6348</v>
      </c>
      <c r="P476" s="507">
        <f t="shared" ref="P476:P482" si="129">ROUND(O476*$G$2,0)</f>
        <v>6554</v>
      </c>
    </row>
    <row r="477" spans="1:17">
      <c r="A477" s="1" t="e">
        <f ca="1">'2026_PCH_BMT_ADULT_ALLO_REL'!$A$1</f>
        <v>#VALUE!</v>
      </c>
      <c r="B477" s="14" t="e">
        <f t="shared" ca="1" si="113"/>
        <v>#VALUE!</v>
      </c>
      <c r="C477" s="1" t="s">
        <v>372</v>
      </c>
      <c r="D477" s="5" t="e" cm="1">
        <f t="array" aca="1" ref="D477" ca="1">RIGHT(INDIRECT(ADDRESS(7,2,,,$A477)),6)</f>
        <v>#VALUE!</v>
      </c>
      <c r="E477" s="1" t="e" cm="1">
        <f t="array" aca="1" ref="E477" ca="1">RIGHT(INDIRECT(ADDRESS(4,2,,,$A477)),5)</f>
        <v>#VALUE!</v>
      </c>
      <c r="F477" s="22">
        <v>1.0335000000000001</v>
      </c>
      <c r="G477" s="22">
        <f t="shared" si="121"/>
        <v>1.0325</v>
      </c>
      <c r="H477" s="7">
        <v>2</v>
      </c>
      <c r="I477" s="7">
        <v>3</v>
      </c>
      <c r="J477" s="26">
        <v>4</v>
      </c>
      <c r="K477" s="26"/>
      <c r="L477" s="26" t="s">
        <v>350</v>
      </c>
      <c r="M477" s="26" t="s">
        <v>351</v>
      </c>
      <c r="N477" s="9" t="str">
        <f>LEFT(INDEX('2026_PCH_BMT_ADULT_ALLO_REL'!$A$1:$E$30,MATCH($H477,'2026_PCH_BMT_ADULT_ALLO_REL'!$A$1:$A$30),MATCH(I477,'2026_PCH_BMT_ADULT_ALLO_REL'!$A$1:$D$1)),30)</f>
        <v>RELATED DONOR SEARCH*(only 1 d</v>
      </c>
      <c r="O477" s="16">
        <v>5190</v>
      </c>
      <c r="P477" s="507">
        <f t="shared" si="129"/>
        <v>5359</v>
      </c>
    </row>
    <row r="478" spans="1:17">
      <c r="A478" s="1" t="e">
        <f ca="1">'2026_PCH_BMT_ADULT_ALLO_REL'!$A$1</f>
        <v>#VALUE!</v>
      </c>
      <c r="B478" s="14" t="e">
        <f t="shared" ca="1" si="113"/>
        <v>#VALUE!</v>
      </c>
      <c r="C478" s="1" t="s">
        <v>372</v>
      </c>
      <c r="D478" s="5" t="e" cm="1">
        <f t="array" aca="1" ref="D478" ca="1">RIGHT(INDIRECT(ADDRESS(7,2,,,$A478)),6)</f>
        <v>#VALUE!</v>
      </c>
      <c r="E478" s="1" t="e" cm="1">
        <f t="array" aca="1" ref="E478" ca="1">RIGHT(INDIRECT(ADDRESS(4,2,,,$A478)),5)</f>
        <v>#VALUE!</v>
      </c>
      <c r="F478" s="22">
        <v>1.0335000000000001</v>
      </c>
      <c r="G478" s="22">
        <f t="shared" si="121"/>
        <v>1.0325</v>
      </c>
      <c r="H478" s="7">
        <v>3</v>
      </c>
      <c r="I478" s="7">
        <v>3</v>
      </c>
      <c r="J478" s="26">
        <v>4</v>
      </c>
      <c r="K478" s="26"/>
      <c r="L478" s="26" t="s">
        <v>350</v>
      </c>
      <c r="M478" s="26" t="s">
        <v>351</v>
      </c>
      <c r="N478" s="9" t="str">
        <f>LEFT(INDEX('2026_PCH_BMT_ADULT_ALLO_REL'!$A$1:$E$30,MATCH($H478,'2026_PCH_BMT_ADULT_ALLO_REL'!$A$1:$A$30),MATCH(I478,'2026_PCH_BMT_ADULT_ALLO_REL'!$A$1:$D$1)),30)</f>
        <v>RELATED DONOR HARVEST</v>
      </c>
      <c r="O478" s="16">
        <v>17125</v>
      </c>
      <c r="P478" s="507">
        <f t="shared" si="129"/>
        <v>17682</v>
      </c>
    </row>
    <row r="479" spans="1:17">
      <c r="A479" s="1" t="e">
        <f ca="1">'2026_PCH_BMT_ADULT_ALLO_REL'!$A$1</f>
        <v>#VALUE!</v>
      </c>
      <c r="B479" s="14" t="e">
        <f t="shared" ca="1" si="113"/>
        <v>#VALUE!</v>
      </c>
      <c r="C479" s="1" t="s">
        <v>372</v>
      </c>
      <c r="D479" s="5" t="e" cm="1">
        <f t="array" aca="1" ref="D479" ca="1">RIGHT(INDIRECT(ADDRESS(7,2,,,$A479)),6)</f>
        <v>#VALUE!</v>
      </c>
      <c r="E479" s="1" t="e" cm="1">
        <f t="array" aca="1" ref="E479" ca="1">RIGHT(INDIRECT(ADDRESS(4,2,,,$A479)),5)</f>
        <v>#VALUE!</v>
      </c>
      <c r="F479" s="22">
        <v>1.0335000000000001</v>
      </c>
      <c r="G479" s="22">
        <f t="shared" si="121"/>
        <v>1.0325</v>
      </c>
      <c r="H479" s="7">
        <v>4</v>
      </c>
      <c r="I479" s="7">
        <v>3</v>
      </c>
      <c r="J479" s="26">
        <v>4</v>
      </c>
      <c r="K479" s="26"/>
      <c r="L479" s="26" t="s">
        <v>350</v>
      </c>
      <c r="M479" s="26" t="s">
        <v>351</v>
      </c>
      <c r="N479" s="9" t="str">
        <f>LEFT(INDEX('2026_PCH_BMT_ADULT_ALLO_REL'!$A$1:$E$30,MATCH($H479,'2026_PCH_BMT_ADULT_ALLO_REL'!$A$1:$A$30),MATCH(I479,'2026_PCH_BMT_ADULT_ALLO_REL'!$A$1:$D$1)),30)</f>
        <v>PREP AND TRANSPLANT</v>
      </c>
      <c r="O479" s="16">
        <v>149744</v>
      </c>
      <c r="P479" s="507">
        <f t="shared" si="129"/>
        <v>154611</v>
      </c>
    </row>
    <row r="480" spans="1:17">
      <c r="A480" s="1" t="e">
        <f ca="1">'2026_PCH_BMT_ADULT_ALLO_REL'!$A$1</f>
        <v>#VALUE!</v>
      </c>
      <c r="B480" s="14" t="e">
        <f t="shared" ca="1" si="113"/>
        <v>#VALUE!</v>
      </c>
      <c r="C480" s="1" t="s">
        <v>372</v>
      </c>
      <c r="D480" s="5" t="e" cm="1">
        <f t="array" aca="1" ref="D480" ca="1">RIGHT(INDIRECT(ADDRESS(7,2,,,$A480)),6)</f>
        <v>#VALUE!</v>
      </c>
      <c r="E480" s="1" t="e" cm="1">
        <f t="array" aca="1" ref="E480" ca="1">RIGHT(INDIRECT(ADDRESS(4,2,,,$A480)),5)</f>
        <v>#VALUE!</v>
      </c>
      <c r="F480" s="22">
        <v>1.0335000000000001</v>
      </c>
      <c r="G480" s="22">
        <f t="shared" si="121"/>
        <v>1.0325</v>
      </c>
      <c r="H480" s="7">
        <v>5</v>
      </c>
      <c r="I480" s="7">
        <v>3</v>
      </c>
      <c r="J480" s="26">
        <v>4</v>
      </c>
      <c r="K480" s="26"/>
      <c r="L480" s="26" t="s">
        <v>350</v>
      </c>
      <c r="M480" s="26" t="s">
        <v>351</v>
      </c>
      <c r="N480" s="9" t="str">
        <f>LEFT(INDEX('2026_PCH_BMT_ADULT_ALLO_REL'!$A$1:$E$30,MATCH($H480,'2026_PCH_BMT_ADULT_ALLO_REL'!$A$1:$A$30),MATCH(I480,'2026_PCH_BMT_ADULT_ALLO_REL'!$A$1:$D$1)),30)</f>
        <v>FOLLOW UP CARE - From day 1 po</v>
      </c>
      <c r="O480" s="16">
        <v>203016</v>
      </c>
      <c r="P480" s="507">
        <f t="shared" si="129"/>
        <v>209614</v>
      </c>
    </row>
    <row r="481" spans="1:17">
      <c r="A481" s="1" t="e">
        <f ca="1">'2026_PCH_BMT_ADULT_ALLO_REL'!$A$1</f>
        <v>#VALUE!</v>
      </c>
      <c r="B481" s="14" t="e">
        <f t="shared" ref="B481:B544" ca="1" si="130">IF(A481=A480,0,1)</f>
        <v>#VALUE!</v>
      </c>
      <c r="C481" s="1" t="s">
        <v>372</v>
      </c>
      <c r="D481" s="5" t="e" cm="1">
        <f t="array" aca="1" ref="D481" ca="1">RIGHT(INDIRECT(ADDRESS(7,2,,,$A481)),6)</f>
        <v>#VALUE!</v>
      </c>
      <c r="E481" s="1" t="e" cm="1">
        <f t="array" aca="1" ref="E481" ca="1">RIGHT(INDIRECT(ADDRESS(4,2,,,$A481)),5)</f>
        <v>#VALUE!</v>
      </c>
      <c r="F481" s="22">
        <v>1.0335000000000001</v>
      </c>
      <c r="G481" s="22">
        <f t="shared" si="121"/>
        <v>1.0325</v>
      </c>
      <c r="H481" s="7">
        <v>6</v>
      </c>
      <c r="I481" s="7">
        <v>3</v>
      </c>
      <c r="J481" s="26">
        <v>4</v>
      </c>
      <c r="K481" s="26"/>
      <c r="L481" s="26" t="s">
        <v>350</v>
      </c>
      <c r="M481" s="26" t="s">
        <v>351</v>
      </c>
      <c r="N481" s="9" t="str">
        <f>LEFT(INDEX('2026_PCH_BMT_ADULT_ALLO_REL'!$A$1:$E$30,MATCH($H481,'2026_PCH_BMT_ADULT_ALLO_REL'!$A$1:$A$30),MATCH(I481,'2026_PCH_BMT_ADULT_ALLO_REL'!$A$1:$D$1)),30)</f>
        <v xml:space="preserve">FOLLOW UP CARE - From day 31  </v>
      </c>
      <c r="O481" s="16">
        <v>28850</v>
      </c>
      <c r="P481" s="507">
        <f t="shared" si="129"/>
        <v>29788</v>
      </c>
    </row>
    <row r="482" spans="1:17">
      <c r="A482" s="1" t="e">
        <f ca="1">'2026_PCH_BMT_ADULT_ALLO_REL'!$A$1</f>
        <v>#VALUE!</v>
      </c>
      <c r="B482" s="14" t="e">
        <f t="shared" ca="1" si="130"/>
        <v>#VALUE!</v>
      </c>
      <c r="C482" s="1" t="s">
        <v>372</v>
      </c>
      <c r="D482" s="5" t="e" cm="1">
        <f t="array" aca="1" ref="D482" ca="1">RIGHT(INDIRECT(ADDRESS(7,2,,,$A482)),6)</f>
        <v>#VALUE!</v>
      </c>
      <c r="E482" s="1" t="e" cm="1">
        <f t="array" aca="1" ref="E482" ca="1">RIGHT(INDIRECT(ADDRESS(4,2,,,$A482)),5)</f>
        <v>#VALUE!</v>
      </c>
      <c r="F482" s="22">
        <v>1.0335000000000001</v>
      </c>
      <c r="G482" s="22">
        <f t="shared" si="121"/>
        <v>1.0325</v>
      </c>
      <c r="H482" s="7">
        <v>7</v>
      </c>
      <c r="I482" s="7">
        <v>3</v>
      </c>
      <c r="J482" s="26">
        <v>4</v>
      </c>
      <c r="K482" s="26"/>
      <c r="L482" s="26" t="s">
        <v>350</v>
      </c>
      <c r="M482" s="26" t="s">
        <v>351</v>
      </c>
      <c r="N482" s="9" t="str">
        <f>LEFT(INDEX('2026_PCH_BMT_ADULT_ALLO_REL'!$A$1:$E$30,MATCH($H482,'2026_PCH_BMT_ADULT_ALLO_REL'!$A$1:$A$30),MATCH(I482,'2026_PCH_BMT_ADULT_ALLO_REL'!$A$1:$D$1)),30)</f>
        <v xml:space="preserve">PER DIEM RATES for day 61+ of </v>
      </c>
      <c r="O482" s="16">
        <v>2474</v>
      </c>
      <c r="P482" s="507">
        <f t="shared" si="129"/>
        <v>2554</v>
      </c>
    </row>
    <row r="483" spans="1:17">
      <c r="A483" s="1" t="e">
        <f ca="1">'2026_PCH_BMT_ADULT_ALLO_REL'!$A$1</f>
        <v>#VALUE!</v>
      </c>
      <c r="B483" s="14" t="e">
        <f t="shared" ca="1" si="130"/>
        <v>#VALUE!</v>
      </c>
      <c r="C483" s="1" t="s">
        <v>372</v>
      </c>
      <c r="D483" s="5" t="e" cm="1">
        <f t="array" aca="1" ref="D483" ca="1">RIGHT(INDIRECT(ADDRESS(7,2,,,$A483)),6)</f>
        <v>#VALUE!</v>
      </c>
      <c r="E483" s="1" t="e" cm="1">
        <f t="array" aca="1" ref="E483" ca="1">RIGHT(INDIRECT(ADDRESS(4,2,,,$A483)),5)</f>
        <v>#VALUE!</v>
      </c>
      <c r="F483" s="22">
        <v>1.0335000000000001</v>
      </c>
      <c r="G483" s="22">
        <f t="shared" si="121"/>
        <v>1.0325</v>
      </c>
      <c r="H483" s="7">
        <v>8</v>
      </c>
      <c r="I483" s="7">
        <v>3</v>
      </c>
      <c r="J483" s="26">
        <v>4</v>
      </c>
      <c r="K483" s="26"/>
      <c r="L483" s="26" t="s">
        <v>350</v>
      </c>
      <c r="M483" s="26" t="s">
        <v>351</v>
      </c>
      <c r="N483" s="9" t="str">
        <f>LEFT(INDEX('2026_PCH_BMT_ADULT_ALLO_REL'!$A$1:$E$30,MATCH($H483,'2026_PCH_BMT_ADULT_ALLO_REL'!$A$1:$A$30),MATCH(I483,'2026_PCH_BMT_ADULT_ALLO_REL'!$A$1:$D$1)),30)</f>
        <v>Days 11+/61+ paid at the per d</v>
      </c>
      <c r="O483" s="16">
        <v>7263.18</v>
      </c>
      <c r="P483" s="509">
        <f>O483*$Q$2</f>
        <v>8014.1928120000002</v>
      </c>
      <c r="Q483" s="14" t="s">
        <v>352</v>
      </c>
    </row>
    <row r="484" spans="1:17">
      <c r="A484" s="1" t="e">
        <f ca="1">'2026_PCH_BMT_ADULT_ALLO_REL'!$A$1</f>
        <v>#VALUE!</v>
      </c>
      <c r="B484" s="14" t="e">
        <f t="shared" ca="1" si="130"/>
        <v>#VALUE!</v>
      </c>
      <c r="C484" s="1" t="s">
        <v>372</v>
      </c>
      <c r="D484" s="5" t="e" cm="1">
        <f t="array" aca="1" ref="D484" ca="1">RIGHT(INDIRECT(ADDRESS(7,2,,,$A484)),6)</f>
        <v>#VALUE!</v>
      </c>
      <c r="E484" s="1" t="e" cm="1">
        <f t="array" aca="1" ref="E484" ca="1">RIGHT(INDIRECT(ADDRESS(4,2,,,$A484)),5)</f>
        <v>#VALUE!</v>
      </c>
      <c r="F484" s="22">
        <v>1.0335000000000001</v>
      </c>
      <c r="G484" s="22">
        <f t="shared" si="121"/>
        <v>1.0325</v>
      </c>
      <c r="H484" s="7">
        <v>9</v>
      </c>
      <c r="I484" s="7">
        <v>3</v>
      </c>
      <c r="J484" s="26">
        <v>4</v>
      </c>
      <c r="K484" s="26"/>
      <c r="L484" s="26" t="s">
        <v>350</v>
      </c>
      <c r="M484" s="26" t="s">
        <v>351</v>
      </c>
      <c r="N484" s="9" t="str">
        <f>LEFT(INDEX('2026_PCH_BMT_ADULT_ALLO_REL'!$A$1:$E$30,MATCH($H484,'2026_PCH_BMT_ADULT_ALLO_REL'!$A$1:$A$30),MATCH(I484,'2026_PCH_BMT_ADULT_ALLO_REL'!$A$1:$D$1)),30)</f>
        <v>Outliers:   Related Allogeneic</v>
      </c>
      <c r="O484" s="16">
        <v>1484770</v>
      </c>
      <c r="P484" s="507">
        <f t="shared" ref="P484" si="131">ROUND(O484*$G$2,0)</f>
        <v>1533025</v>
      </c>
      <c r="Q484" s="14" t="s">
        <v>353</v>
      </c>
    </row>
    <row r="485" spans="1:17">
      <c r="A485" s="1" t="e">
        <f ca="1">'2026_PCH_BMT_ADULT_ALLO_REL'!$A$1</f>
        <v>#VALUE!</v>
      </c>
      <c r="B485" s="14" t="e">
        <f t="shared" ca="1" si="130"/>
        <v>#VALUE!</v>
      </c>
      <c r="C485" s="1" t="s">
        <v>372</v>
      </c>
      <c r="D485" s="5" t="e" cm="1">
        <f t="array" aca="1" ref="D485" ca="1">RIGHT(INDIRECT(ADDRESS(7,2,,,$A485)),6)</f>
        <v>#VALUE!</v>
      </c>
      <c r="E485" s="1" t="e" cm="1">
        <f t="array" aca="1" ref="E485" ca="1">RIGHT(INDIRECT(ADDRESS(4,2,,,$A485)),5)</f>
        <v>#VALUE!</v>
      </c>
      <c r="F485" s="22">
        <v>1.0335000000000001</v>
      </c>
      <c r="G485" s="22">
        <f t="shared" si="121"/>
        <v>1.0325</v>
      </c>
      <c r="H485" s="7">
        <v>10</v>
      </c>
      <c r="I485" s="7">
        <v>3</v>
      </c>
      <c r="J485" s="26">
        <v>4</v>
      </c>
      <c r="K485" s="26"/>
      <c r="L485" s="26" t="s">
        <v>350</v>
      </c>
      <c r="M485" s="26" t="s">
        <v>351</v>
      </c>
      <c r="N485" s="9" t="str">
        <f>LEFT(INDEX('2026_PCH_BMT_ADULT_ALLO_REL'!$A$1:$E$30,MATCH($H485,'2026_PCH_BMT_ADULT_ALLO_REL'!$A$1:$A$30),MATCH(I485,'2026_PCH_BMT_ADULT_ALLO_REL'!$A$1:$D$1)),30)</f>
        <v>Rate Above Threshold</v>
      </c>
      <c r="O485" s="16">
        <v>0.5</v>
      </c>
      <c r="P485" s="507">
        <f t="shared" ref="P485" si="132">O485</f>
        <v>0.5</v>
      </c>
      <c r="Q485" s="14" t="s">
        <v>354</v>
      </c>
    </row>
    <row r="486" spans="1:17">
      <c r="A486" s="1" t="e">
        <f ca="1">'2026_PCH_ADULT_HAPLOID'!$A$1</f>
        <v>#VALUE!</v>
      </c>
      <c r="B486" s="14" t="e">
        <f t="shared" ca="1" si="130"/>
        <v>#VALUE!</v>
      </c>
      <c r="C486" s="1" t="s">
        <v>372</v>
      </c>
      <c r="D486" s="5" t="e" cm="1">
        <f t="array" aca="1" ref="D486" ca="1">RIGHT(INDIRECT(ADDRESS(7,2,,,$A486)),6)</f>
        <v>#VALUE!</v>
      </c>
      <c r="E486" s="1" t="e" cm="1">
        <f t="array" aca="1" ref="E486" ca="1">RIGHT(INDIRECT(ADDRESS(4,2,,,$A486)),5)</f>
        <v>#VALUE!</v>
      </c>
      <c r="F486" s="22">
        <v>1.0335000000000001</v>
      </c>
      <c r="G486" s="22">
        <f t="shared" si="121"/>
        <v>1.0325</v>
      </c>
      <c r="H486" s="7">
        <v>1</v>
      </c>
      <c r="I486" s="7">
        <v>3</v>
      </c>
      <c r="J486" s="26">
        <v>4</v>
      </c>
      <c r="K486" s="26"/>
      <c r="L486" s="26" t="s">
        <v>350</v>
      </c>
      <c r="M486" s="26" t="s">
        <v>351</v>
      </c>
      <c r="N486" s="9" t="str">
        <f>LEFT(INDEX('2026_PCH_ADULT_HAPLOID'!$A$1:$E$30,MATCH($H486,'2026_PCH_ADULT_HAPLOID'!$A$1:$A$30),MATCH(I486,'2026_PCH_ADULT_HAPLOID'!$A$1:$D$1)),30)</f>
        <v>OUTPATIENT EVALUATION* - Initi</v>
      </c>
      <c r="O486" s="16">
        <v>6443</v>
      </c>
      <c r="P486" s="507">
        <f t="shared" ref="P486:P492" si="133">ROUND(O486*$G$2,0)</f>
        <v>6652</v>
      </c>
    </row>
    <row r="487" spans="1:17">
      <c r="A487" s="1" t="e">
        <f ca="1">'2026_PCH_ADULT_HAPLOID'!$A$1</f>
        <v>#VALUE!</v>
      </c>
      <c r="B487" s="14" t="e">
        <f t="shared" ca="1" si="130"/>
        <v>#VALUE!</v>
      </c>
      <c r="C487" s="1" t="s">
        <v>372</v>
      </c>
      <c r="D487" s="5" t="e" cm="1">
        <f t="array" aca="1" ref="D487" ca="1">RIGHT(INDIRECT(ADDRESS(7,2,,,$A487)),6)</f>
        <v>#VALUE!</v>
      </c>
      <c r="E487" s="1" t="e" cm="1">
        <f t="array" aca="1" ref="E487" ca="1">RIGHT(INDIRECT(ADDRESS(4,2,,,$A487)),5)</f>
        <v>#VALUE!</v>
      </c>
      <c r="F487" s="22">
        <v>1.0335000000000001</v>
      </c>
      <c r="G487" s="22">
        <f t="shared" si="121"/>
        <v>1.0325</v>
      </c>
      <c r="H487" s="7">
        <v>2</v>
      </c>
      <c r="I487" s="7">
        <v>3</v>
      </c>
      <c r="J487" s="26">
        <v>4</v>
      </c>
      <c r="K487" s="26"/>
      <c r="L487" s="26" t="s">
        <v>350</v>
      </c>
      <c r="M487" s="26" t="s">
        <v>351</v>
      </c>
      <c r="N487" s="9" t="str">
        <f>LEFT(INDEX('2026_PCH_ADULT_HAPLOID'!$A$1:$E$30,MATCH($H487,'2026_PCH_ADULT_HAPLOID'!$A$1:$A$30),MATCH(I487,'2026_PCH_ADULT_HAPLOID'!$A$1:$D$1)),30)</f>
        <v>DONOR SEARCH* (only 1 donor se</v>
      </c>
      <c r="O487" s="16">
        <v>11374</v>
      </c>
      <c r="P487" s="507">
        <f t="shared" si="133"/>
        <v>11744</v>
      </c>
    </row>
    <row r="488" spans="1:17">
      <c r="A488" s="1" t="e">
        <f ca="1">'2026_PCH_ADULT_HAPLOID'!$A$1</f>
        <v>#VALUE!</v>
      </c>
      <c r="B488" s="14" t="e">
        <f t="shared" ca="1" si="130"/>
        <v>#VALUE!</v>
      </c>
      <c r="C488" s="1" t="s">
        <v>372</v>
      </c>
      <c r="D488" s="5" t="e" cm="1">
        <f t="array" aca="1" ref="D488" ca="1">RIGHT(INDIRECT(ADDRESS(7,2,,,$A488)),6)</f>
        <v>#VALUE!</v>
      </c>
      <c r="E488" s="1" t="e" cm="1">
        <f t="array" aca="1" ref="E488" ca="1">RIGHT(INDIRECT(ADDRESS(4,2,,,$A488)),5)</f>
        <v>#VALUE!</v>
      </c>
      <c r="F488" s="22">
        <v>1.0335000000000001</v>
      </c>
      <c r="G488" s="22">
        <f t="shared" si="121"/>
        <v>1.0325</v>
      </c>
      <c r="H488" s="7">
        <v>3</v>
      </c>
      <c r="I488" s="7">
        <v>3</v>
      </c>
      <c r="J488" s="26">
        <v>4</v>
      </c>
      <c r="K488" s="26"/>
      <c r="L488" s="26" t="s">
        <v>350</v>
      </c>
      <c r="M488" s="26" t="s">
        <v>351</v>
      </c>
      <c r="N488" s="9" t="str">
        <f>LEFT(INDEX('2026_PCH_ADULT_HAPLOID'!$A$1:$E$30,MATCH($H488,'2026_PCH_ADULT_HAPLOID'!$A$1:$A$30),MATCH(I488,'2026_PCH_ADULT_HAPLOID'!$A$1:$D$1)),30)</f>
        <v>DONOR HARVEST (includes stem c</v>
      </c>
      <c r="O488" s="16">
        <v>17125</v>
      </c>
      <c r="P488" s="507">
        <f t="shared" si="133"/>
        <v>17682</v>
      </c>
    </row>
    <row r="489" spans="1:17">
      <c r="A489" s="1" t="e">
        <f ca="1">'2026_PCH_ADULT_HAPLOID'!$A$1</f>
        <v>#VALUE!</v>
      </c>
      <c r="B489" s="14" t="e">
        <f t="shared" ca="1" si="130"/>
        <v>#VALUE!</v>
      </c>
      <c r="C489" s="1" t="s">
        <v>372</v>
      </c>
      <c r="D489" s="5" t="e" cm="1">
        <f t="array" aca="1" ref="D489" ca="1">RIGHT(INDIRECT(ADDRESS(7,2,,,$A489)),6)</f>
        <v>#VALUE!</v>
      </c>
      <c r="E489" s="1" t="e" cm="1">
        <f t="array" aca="1" ref="E489" ca="1">RIGHT(INDIRECT(ADDRESS(4,2,,,$A489)),5)</f>
        <v>#VALUE!</v>
      </c>
      <c r="F489" s="22">
        <v>1.0335000000000001</v>
      </c>
      <c r="G489" s="22">
        <f t="shared" si="121"/>
        <v>1.0325</v>
      </c>
      <c r="H489" s="7">
        <v>4</v>
      </c>
      <c r="I489" s="7">
        <v>3</v>
      </c>
      <c r="J489" s="26">
        <v>4</v>
      </c>
      <c r="K489" s="26"/>
      <c r="L489" s="26" t="s">
        <v>350</v>
      </c>
      <c r="M489" s="26" t="s">
        <v>351</v>
      </c>
      <c r="N489" s="9" t="str">
        <f>LEFT(INDEX('2026_PCH_ADULT_HAPLOID'!$A$1:$E$30,MATCH($H489,'2026_PCH_ADULT_HAPLOID'!$A$1:$A$30),MATCH(I489,'2026_PCH_ADULT_HAPLOID'!$A$1:$D$1)),30)</f>
        <v>PREP AND TRANSPLANT</v>
      </c>
      <c r="O489" s="16">
        <v>61950</v>
      </c>
      <c r="P489" s="507">
        <f t="shared" si="133"/>
        <v>63963</v>
      </c>
    </row>
    <row r="490" spans="1:17">
      <c r="A490" s="1" t="e">
        <f ca="1">'2026_PCH_ADULT_HAPLOID'!$A$1</f>
        <v>#VALUE!</v>
      </c>
      <c r="B490" s="14" t="e">
        <f t="shared" ca="1" si="130"/>
        <v>#VALUE!</v>
      </c>
      <c r="C490" s="1" t="s">
        <v>372</v>
      </c>
      <c r="D490" s="5" t="e" cm="1">
        <f t="array" aca="1" ref="D490" ca="1">RIGHT(INDIRECT(ADDRESS(7,2,,,$A490)),6)</f>
        <v>#VALUE!</v>
      </c>
      <c r="E490" s="1" t="e" cm="1">
        <f t="array" aca="1" ref="E490" ca="1">RIGHT(INDIRECT(ADDRESS(4,2,,,$A490)),5)</f>
        <v>#VALUE!</v>
      </c>
      <c r="F490" s="22">
        <v>1.0335000000000001</v>
      </c>
      <c r="G490" s="22">
        <f t="shared" si="121"/>
        <v>1.0325</v>
      </c>
      <c r="H490" s="7">
        <v>5</v>
      </c>
      <c r="I490" s="7">
        <v>3</v>
      </c>
      <c r="J490" s="26">
        <v>4</v>
      </c>
      <c r="K490" s="26"/>
      <c r="L490" s="26" t="s">
        <v>350</v>
      </c>
      <c r="M490" s="26" t="s">
        <v>351</v>
      </c>
      <c r="N490" s="9" t="str">
        <f>LEFT(INDEX('2026_PCH_ADULT_HAPLOID'!$A$1:$E$30,MATCH($H490,'2026_PCH_ADULT_HAPLOID'!$A$1:$A$30),MATCH(I490,'2026_PCH_ADULT_HAPLOID'!$A$1:$D$1)),30)</f>
        <v>FOLLOW UP CARE - From day 1 po</v>
      </c>
      <c r="O490" s="16">
        <v>97853</v>
      </c>
      <c r="P490" s="507">
        <f t="shared" si="133"/>
        <v>101033</v>
      </c>
    </row>
    <row r="491" spans="1:17">
      <c r="A491" s="1" t="e">
        <f ca="1">'2026_PCH_ADULT_HAPLOID'!$A$1</f>
        <v>#VALUE!</v>
      </c>
      <c r="B491" s="14" t="e">
        <f t="shared" ca="1" si="130"/>
        <v>#VALUE!</v>
      </c>
      <c r="C491" s="1" t="s">
        <v>372</v>
      </c>
      <c r="D491" s="5" t="e" cm="1">
        <f t="array" aca="1" ref="D491" ca="1">RIGHT(INDIRECT(ADDRESS(7,2,,,$A491)),6)</f>
        <v>#VALUE!</v>
      </c>
      <c r="E491" s="1" t="e" cm="1">
        <f t="array" aca="1" ref="E491" ca="1">RIGHT(INDIRECT(ADDRESS(4,2,,,$A491)),5)</f>
        <v>#VALUE!</v>
      </c>
      <c r="F491" s="22">
        <v>1.0335000000000001</v>
      </c>
      <c r="G491" s="22">
        <f t="shared" si="121"/>
        <v>1.0325</v>
      </c>
      <c r="H491" s="7">
        <v>6</v>
      </c>
      <c r="I491" s="7">
        <v>3</v>
      </c>
      <c r="J491" s="26">
        <v>4</v>
      </c>
      <c r="K491" s="26"/>
      <c r="L491" s="26" t="s">
        <v>350</v>
      </c>
      <c r="M491" s="26" t="s">
        <v>351</v>
      </c>
      <c r="N491" s="9" t="str">
        <f>LEFT(INDEX('2026_PCH_ADULT_HAPLOID'!$A$1:$E$30,MATCH($H491,'2026_PCH_ADULT_HAPLOID'!$A$1:$A$30),MATCH(I491,'2026_PCH_ADULT_HAPLOID'!$A$1:$D$1)),30)</f>
        <v xml:space="preserve">FOLLOW UP CARE - From day 31  </v>
      </c>
      <c r="O491" s="16">
        <v>32359</v>
      </c>
      <c r="P491" s="507">
        <f t="shared" si="133"/>
        <v>33411</v>
      </c>
    </row>
    <row r="492" spans="1:17">
      <c r="A492" s="1" t="e">
        <f ca="1">'2026_PCH_ADULT_HAPLOID'!$A$1</f>
        <v>#VALUE!</v>
      </c>
      <c r="B492" s="14" t="e">
        <f t="shared" ca="1" si="130"/>
        <v>#VALUE!</v>
      </c>
      <c r="C492" s="1" t="s">
        <v>372</v>
      </c>
      <c r="D492" s="5" t="e" cm="1">
        <f t="array" aca="1" ref="D492" ca="1">RIGHT(INDIRECT(ADDRESS(7,2,,,$A492)),6)</f>
        <v>#VALUE!</v>
      </c>
      <c r="E492" s="1" t="e" cm="1">
        <f t="array" aca="1" ref="E492" ca="1">RIGHT(INDIRECT(ADDRESS(4,2,,,$A492)),5)</f>
        <v>#VALUE!</v>
      </c>
      <c r="F492" s="22">
        <v>1.0335000000000001</v>
      </c>
      <c r="G492" s="22">
        <f t="shared" si="121"/>
        <v>1.0325</v>
      </c>
      <c r="H492" s="7">
        <v>7</v>
      </c>
      <c r="I492" s="7">
        <v>3</v>
      </c>
      <c r="J492" s="26">
        <v>4</v>
      </c>
      <c r="K492" s="26"/>
      <c r="L492" s="26" t="s">
        <v>350</v>
      </c>
      <c r="M492" s="26" t="s">
        <v>351</v>
      </c>
      <c r="N492" s="9" t="str">
        <f>LEFT(INDEX('2026_PCH_ADULT_HAPLOID'!$A$1:$E$30,MATCH($H492,'2026_PCH_ADULT_HAPLOID'!$A$1:$A$30),MATCH(I492,'2026_PCH_ADULT_HAPLOID'!$A$1:$D$1)),30)</f>
        <v xml:space="preserve">PER DIEM RATES for day 61+ of </v>
      </c>
      <c r="O492" s="16">
        <v>2474</v>
      </c>
      <c r="P492" s="507">
        <f t="shared" si="133"/>
        <v>2554</v>
      </c>
    </row>
    <row r="493" spans="1:17">
      <c r="A493" s="1" t="e">
        <f ca="1">'2026_PCH_ADULT_HAPLOID'!$A$1</f>
        <v>#VALUE!</v>
      </c>
      <c r="B493" s="14" t="e">
        <f t="shared" ca="1" si="130"/>
        <v>#VALUE!</v>
      </c>
      <c r="C493" s="1" t="s">
        <v>372</v>
      </c>
      <c r="D493" s="5" t="e" cm="1">
        <f t="array" aca="1" ref="D493" ca="1">RIGHT(INDIRECT(ADDRESS(7,2,,,$A493)),6)</f>
        <v>#VALUE!</v>
      </c>
      <c r="E493" s="1" t="e" cm="1">
        <f t="array" aca="1" ref="E493" ca="1">RIGHT(INDIRECT(ADDRESS(4,2,,,$A493)),5)</f>
        <v>#VALUE!</v>
      </c>
      <c r="F493" s="22">
        <v>1.0335000000000001</v>
      </c>
      <c r="G493" s="22">
        <f t="shared" si="121"/>
        <v>1.0325</v>
      </c>
      <c r="H493" s="7">
        <v>8</v>
      </c>
      <c r="I493" s="7">
        <v>3</v>
      </c>
      <c r="J493" s="26">
        <v>4</v>
      </c>
      <c r="K493" s="26"/>
      <c r="L493" s="26" t="s">
        <v>350</v>
      </c>
      <c r="M493" s="26" t="s">
        <v>351</v>
      </c>
      <c r="N493" s="9" t="str">
        <f>LEFT(INDEX('2026_PCH_ADULT_HAPLOID'!$A$1:$E$30,MATCH($H493,'2026_PCH_ADULT_HAPLOID'!$A$1:$A$30),MATCH(I493,'2026_PCH_ADULT_HAPLOID'!$A$1:$D$1)),30)</f>
        <v>Days 11+/61+ paid at the per d</v>
      </c>
      <c r="O493" s="16">
        <v>7263.18</v>
      </c>
      <c r="P493" s="509">
        <f>O493*$Q$2</f>
        <v>8014.1928120000002</v>
      </c>
      <c r="Q493" s="14" t="s">
        <v>352</v>
      </c>
    </row>
    <row r="494" spans="1:17">
      <c r="A494" s="1" t="e">
        <f ca="1">'2026_PCH_ADULT_HAPLOID'!$A$1</f>
        <v>#VALUE!</v>
      </c>
      <c r="B494" s="14" t="e">
        <f t="shared" ca="1" si="130"/>
        <v>#VALUE!</v>
      </c>
      <c r="C494" s="1" t="s">
        <v>372</v>
      </c>
      <c r="D494" s="5" t="e" cm="1">
        <f t="array" aca="1" ref="D494" ca="1">RIGHT(INDIRECT(ADDRESS(7,2,,,$A494)),6)</f>
        <v>#VALUE!</v>
      </c>
      <c r="E494" s="1" t="e" cm="1">
        <f t="array" aca="1" ref="E494" ca="1">RIGHT(INDIRECT(ADDRESS(4,2,,,$A494)),5)</f>
        <v>#VALUE!</v>
      </c>
      <c r="F494" s="22">
        <v>1.0335000000000001</v>
      </c>
      <c r="G494" s="22">
        <f t="shared" si="121"/>
        <v>1.0325</v>
      </c>
      <c r="H494" s="7">
        <v>9</v>
      </c>
      <c r="I494" s="7">
        <v>3</v>
      </c>
      <c r="J494" s="26">
        <v>4</v>
      </c>
      <c r="K494" s="26"/>
      <c r="L494" s="26" t="s">
        <v>350</v>
      </c>
      <c r="M494" s="26" t="s">
        <v>351</v>
      </c>
      <c r="N494" s="9" t="str">
        <f>LEFT(INDEX('2026_PCH_ADULT_HAPLOID'!$A$1:$E$30,MATCH($H494,'2026_PCH_ADULT_HAPLOID'!$A$1:$A$30),MATCH(I494,'2026_PCH_ADULT_HAPLOID'!$A$1:$D$1)),30)</f>
        <v>Outliers: Haploid Related case</v>
      </c>
      <c r="O494" s="16">
        <v>249440</v>
      </c>
      <c r="P494" s="507">
        <f t="shared" ref="P494" si="134">ROUND(O494*$G$2,0)</f>
        <v>257547</v>
      </c>
      <c r="Q494" s="14" t="s">
        <v>353</v>
      </c>
    </row>
    <row r="495" spans="1:17">
      <c r="A495" s="1" t="e">
        <f ca="1">'2026_PCH_ADULT_HAPLOID'!$A$1</f>
        <v>#VALUE!</v>
      </c>
      <c r="B495" s="14" t="e">
        <f t="shared" ca="1" si="130"/>
        <v>#VALUE!</v>
      </c>
      <c r="C495" s="1" t="s">
        <v>372</v>
      </c>
      <c r="D495" s="5" t="e" cm="1">
        <f t="array" aca="1" ref="D495" ca="1">RIGHT(INDIRECT(ADDRESS(7,2,,,$A495)),6)</f>
        <v>#VALUE!</v>
      </c>
      <c r="E495" s="1" t="e" cm="1">
        <f t="array" aca="1" ref="E495" ca="1">RIGHT(INDIRECT(ADDRESS(4,2,,,$A495)),5)</f>
        <v>#VALUE!</v>
      </c>
      <c r="F495" s="22">
        <v>1.0335000000000001</v>
      </c>
      <c r="G495" s="22">
        <f t="shared" si="121"/>
        <v>1.0325</v>
      </c>
      <c r="H495" s="7">
        <v>10</v>
      </c>
      <c r="I495" s="7">
        <v>3</v>
      </c>
      <c r="J495" s="26">
        <v>4</v>
      </c>
      <c r="K495" s="26"/>
      <c r="L495" s="26" t="s">
        <v>350</v>
      </c>
      <c r="M495" s="26" t="s">
        <v>351</v>
      </c>
      <c r="N495" s="9" t="str">
        <f>LEFT(INDEX('2026_PCH_ADULT_HAPLOID'!$A$1:$E$30,MATCH($H495,'2026_PCH_ADULT_HAPLOID'!$A$1:$A$30),MATCH(I495,'2026_PCH_ADULT_HAPLOID'!$A$1:$D$1)),30)</f>
        <v>Rate Above Threshold</v>
      </c>
      <c r="O495" s="16">
        <v>0.5</v>
      </c>
      <c r="P495" s="507">
        <f t="shared" ref="P495" si="135">O495</f>
        <v>0.5</v>
      </c>
      <c r="Q495" s="14" t="s">
        <v>354</v>
      </c>
    </row>
    <row r="496" spans="1:17">
      <c r="A496" s="1" t="e">
        <f ca="1">'2026_PCH_ADULT_ALLO_UNREL'!$A$1</f>
        <v>#VALUE!</v>
      </c>
      <c r="B496" s="14" t="e">
        <f t="shared" ca="1" si="130"/>
        <v>#VALUE!</v>
      </c>
      <c r="C496" s="1" t="s">
        <v>372</v>
      </c>
      <c r="D496" s="5" t="e" cm="1">
        <f t="array" aca="1" ref="D496" ca="1">RIGHT(INDIRECT(ADDRESS(7,2,,,$A496)),6)</f>
        <v>#VALUE!</v>
      </c>
      <c r="E496" s="1" t="e" cm="1">
        <f t="array" aca="1" ref="E496" ca="1">RIGHT(INDIRECT(ADDRESS(4,2,,,$A496)),5)</f>
        <v>#VALUE!</v>
      </c>
      <c r="F496" s="22">
        <v>1.0335000000000001</v>
      </c>
      <c r="G496" s="22">
        <f t="shared" si="121"/>
        <v>1.0325</v>
      </c>
      <c r="H496" s="7">
        <v>1</v>
      </c>
      <c r="I496" s="7">
        <v>3</v>
      </c>
      <c r="J496" s="26">
        <v>4</v>
      </c>
      <c r="K496" s="26"/>
      <c r="L496" s="26" t="s">
        <v>350</v>
      </c>
      <c r="M496" s="26" t="s">
        <v>351</v>
      </c>
      <c r="N496" s="9" t="str">
        <f>LEFT(INDEX('2026_PCH_ADULT_ALLO_UNREL'!$A$1:$E$30,MATCH($H496,'2026_PCH_ADULT_ALLO_UNREL'!$A$1:$A$30),MATCH(I496,'2026_PCH_ADULT_ALLO_UNREL'!$A$1:$D$1)),30)</f>
        <v>OUTPATIENT EVALUATION* - Initi</v>
      </c>
      <c r="O496" s="16">
        <v>6583</v>
      </c>
      <c r="P496" s="507">
        <f t="shared" ref="P496:P502" si="136">ROUND(O496*$G$2,0)</f>
        <v>6797</v>
      </c>
    </row>
    <row r="497" spans="1:17">
      <c r="A497" s="1" t="e">
        <f ca="1">'2026_PCH_ADULT_ALLO_UNREL'!$A$1</f>
        <v>#VALUE!</v>
      </c>
      <c r="B497" s="14" t="e">
        <f t="shared" ca="1" si="130"/>
        <v>#VALUE!</v>
      </c>
      <c r="C497" s="1" t="s">
        <v>372</v>
      </c>
      <c r="D497" s="5" t="e" cm="1">
        <f t="array" aca="1" ref="D497" ca="1">RIGHT(INDIRECT(ADDRESS(7,2,,,$A497)),6)</f>
        <v>#VALUE!</v>
      </c>
      <c r="E497" s="1" t="e" cm="1">
        <f t="array" aca="1" ref="E497" ca="1">RIGHT(INDIRECT(ADDRESS(4,2,,,$A497)),5)</f>
        <v>#VALUE!</v>
      </c>
      <c r="F497" s="22">
        <v>1.0335000000000001</v>
      </c>
      <c r="G497" s="22">
        <f t="shared" si="121"/>
        <v>1.0325</v>
      </c>
      <c r="H497" s="7">
        <v>2</v>
      </c>
      <c r="I497" s="7">
        <v>3</v>
      </c>
      <c r="J497" s="26">
        <v>4</v>
      </c>
      <c r="K497" s="26"/>
      <c r="L497" s="26" t="s">
        <v>350</v>
      </c>
      <c r="M497" s="26" t="s">
        <v>351</v>
      </c>
      <c r="N497" s="9" t="str">
        <f>LEFT(INDEX('2026_PCH_ADULT_ALLO_UNREL'!$A$1:$E$30,MATCH($H497,'2026_PCH_ADULT_ALLO_UNREL'!$A$1:$A$30),MATCH(I497,'2026_PCH_ADULT_ALLO_UNREL'!$A$1:$D$1)),30)</f>
        <v>UNRELATED DONOR SEARCH</v>
      </c>
      <c r="O497" s="16">
        <v>11622</v>
      </c>
      <c r="P497" s="507">
        <f t="shared" si="136"/>
        <v>12000</v>
      </c>
    </row>
    <row r="498" spans="1:17">
      <c r="A498" s="1" t="e">
        <f ca="1">'2026_PCH_ADULT_ALLO_UNREL'!$A$1</f>
        <v>#VALUE!</v>
      </c>
      <c r="B498" s="14" t="e">
        <f t="shared" ca="1" si="130"/>
        <v>#VALUE!</v>
      </c>
      <c r="C498" s="1" t="s">
        <v>372</v>
      </c>
      <c r="D498" s="5" t="e" cm="1">
        <f t="array" aca="1" ref="D498" ca="1">RIGHT(INDIRECT(ADDRESS(7,2,,,$A498)),6)</f>
        <v>#VALUE!</v>
      </c>
      <c r="E498" s="1" t="e" cm="1">
        <f t="array" aca="1" ref="E498" ca="1">RIGHT(INDIRECT(ADDRESS(4,2,,,$A498)),5)</f>
        <v>#VALUE!</v>
      </c>
      <c r="F498" s="22">
        <v>1.0335000000000001</v>
      </c>
      <c r="G498" s="22">
        <f t="shared" si="121"/>
        <v>1.0325</v>
      </c>
      <c r="H498" s="7">
        <v>3</v>
      </c>
      <c r="I498" s="7">
        <v>3</v>
      </c>
      <c r="J498" s="26">
        <v>4</v>
      </c>
      <c r="K498" s="26"/>
      <c r="L498" s="26" t="s">
        <v>350</v>
      </c>
      <c r="M498" s="26" t="s">
        <v>351</v>
      </c>
      <c r="N498" s="9" t="str">
        <f>LEFT(INDEX('2026_PCH_ADULT_ALLO_UNREL'!$A$1:$E$30,MATCH($H498,'2026_PCH_ADULT_ALLO_UNREL'!$A$1:$A$30),MATCH(I498,'2026_PCH_ADULT_ALLO_UNREL'!$A$1:$D$1)),30)</f>
        <v>DONOR HARVEST (includes stem c</v>
      </c>
      <c r="O498" s="16" t="s">
        <v>355</v>
      </c>
      <c r="P498" s="507" t="str">
        <f t="shared" ref="P498" si="137">O498</f>
        <v>NBMD or Cord blood Invoice Cost</v>
      </c>
      <c r="Q498" s="14" t="s">
        <v>354</v>
      </c>
    </row>
    <row r="499" spans="1:17">
      <c r="A499" s="1" t="e">
        <f ca="1">'2026_PCH_ADULT_ALLO_UNREL'!$A$1</f>
        <v>#VALUE!</v>
      </c>
      <c r="B499" s="14" t="e">
        <f t="shared" ca="1" si="130"/>
        <v>#VALUE!</v>
      </c>
      <c r="C499" s="1" t="s">
        <v>372</v>
      </c>
      <c r="D499" s="5" t="e" cm="1">
        <f t="array" aca="1" ref="D499" ca="1">RIGHT(INDIRECT(ADDRESS(7,2,,,$A499)),6)</f>
        <v>#VALUE!</v>
      </c>
      <c r="E499" s="1" t="e" cm="1">
        <f t="array" aca="1" ref="E499" ca="1">RIGHT(INDIRECT(ADDRESS(4,2,,,$A499)),5)</f>
        <v>#VALUE!</v>
      </c>
      <c r="F499" s="22">
        <v>1.0335000000000001</v>
      </c>
      <c r="G499" s="22">
        <f t="shared" si="121"/>
        <v>1.0325</v>
      </c>
      <c r="H499" s="7">
        <v>4</v>
      </c>
      <c r="I499" s="7">
        <v>3</v>
      </c>
      <c r="J499" s="26">
        <v>4</v>
      </c>
      <c r="K499" s="26"/>
      <c r="L499" s="26" t="s">
        <v>350</v>
      </c>
      <c r="M499" s="26" t="s">
        <v>351</v>
      </c>
      <c r="N499" s="9" t="str">
        <f>LEFT(INDEX('2026_PCH_ADULT_ALLO_UNREL'!$A$1:$E$30,MATCH($H499,'2026_PCH_ADULT_ALLO_UNREL'!$A$1:$A$30),MATCH(I499,'2026_PCH_ADULT_ALLO_UNREL'!$A$1:$D$1)),30)</f>
        <v>PREP AND TRANSPLANT</v>
      </c>
      <c r="O499" s="16">
        <v>63311</v>
      </c>
      <c r="P499" s="507">
        <f t="shared" si="136"/>
        <v>65369</v>
      </c>
    </row>
    <row r="500" spans="1:17">
      <c r="A500" s="1" t="e">
        <f ca="1">'2026_PCH_ADULT_ALLO_UNREL'!$A$1</f>
        <v>#VALUE!</v>
      </c>
      <c r="B500" s="14" t="e">
        <f t="shared" ca="1" si="130"/>
        <v>#VALUE!</v>
      </c>
      <c r="C500" s="1" t="s">
        <v>372</v>
      </c>
      <c r="D500" s="5" t="e" cm="1">
        <f t="array" aca="1" ref="D500" ca="1">RIGHT(INDIRECT(ADDRESS(7,2,,,$A500)),6)</f>
        <v>#VALUE!</v>
      </c>
      <c r="E500" s="1" t="e" cm="1">
        <f t="array" aca="1" ref="E500" ca="1">RIGHT(INDIRECT(ADDRESS(4,2,,,$A500)),5)</f>
        <v>#VALUE!</v>
      </c>
      <c r="F500" s="22">
        <v>1.0335000000000001</v>
      </c>
      <c r="G500" s="22">
        <f t="shared" si="121"/>
        <v>1.0325</v>
      </c>
      <c r="H500" s="7">
        <v>5</v>
      </c>
      <c r="I500" s="7">
        <v>3</v>
      </c>
      <c r="J500" s="26">
        <v>4</v>
      </c>
      <c r="K500" s="26"/>
      <c r="L500" s="26" t="s">
        <v>350</v>
      </c>
      <c r="M500" s="26" t="s">
        <v>351</v>
      </c>
      <c r="N500" s="9" t="str">
        <f>LEFT(INDEX('2026_PCH_ADULT_ALLO_UNREL'!$A$1:$E$30,MATCH($H500,'2026_PCH_ADULT_ALLO_UNREL'!$A$1:$A$30),MATCH(I500,'2026_PCH_ADULT_ALLO_UNREL'!$A$1:$D$1)),30)</f>
        <v>FOLLOW UP CARE - From day 1 po</v>
      </c>
      <c r="O500" s="16">
        <v>100006</v>
      </c>
      <c r="P500" s="507">
        <f t="shared" si="136"/>
        <v>103256</v>
      </c>
    </row>
    <row r="501" spans="1:17">
      <c r="A501" s="1" t="e">
        <f ca="1">'2026_PCH_ADULT_ALLO_UNREL'!$A$1</f>
        <v>#VALUE!</v>
      </c>
      <c r="B501" s="14" t="e">
        <f t="shared" ca="1" si="130"/>
        <v>#VALUE!</v>
      </c>
      <c r="C501" s="1" t="s">
        <v>372</v>
      </c>
      <c r="D501" s="5" t="e" cm="1">
        <f t="array" aca="1" ref="D501" ca="1">RIGHT(INDIRECT(ADDRESS(7,2,,,$A501)),6)</f>
        <v>#VALUE!</v>
      </c>
      <c r="E501" s="1" t="e" cm="1">
        <f t="array" aca="1" ref="E501" ca="1">RIGHT(INDIRECT(ADDRESS(4,2,,,$A501)),5)</f>
        <v>#VALUE!</v>
      </c>
      <c r="F501" s="22">
        <v>1.0335000000000001</v>
      </c>
      <c r="G501" s="22">
        <f t="shared" si="121"/>
        <v>1.0325</v>
      </c>
      <c r="H501" s="7">
        <v>6</v>
      </c>
      <c r="I501" s="7">
        <v>3</v>
      </c>
      <c r="J501" s="26">
        <v>4</v>
      </c>
      <c r="K501" s="26"/>
      <c r="L501" s="26" t="s">
        <v>350</v>
      </c>
      <c r="M501" s="26" t="s">
        <v>351</v>
      </c>
      <c r="N501" s="9" t="str">
        <f>LEFT(INDEX('2026_PCH_ADULT_ALLO_UNREL'!$A$1:$E$30,MATCH($H501,'2026_PCH_ADULT_ALLO_UNREL'!$A$1:$A$30),MATCH(I501,'2026_PCH_ADULT_ALLO_UNREL'!$A$1:$D$1)),30)</f>
        <v xml:space="preserve">FOLLOW UP CARE - From day 31  </v>
      </c>
      <c r="O501" s="16">
        <v>33071</v>
      </c>
      <c r="P501" s="507">
        <f t="shared" si="136"/>
        <v>34146</v>
      </c>
    </row>
    <row r="502" spans="1:17">
      <c r="A502" s="1" t="e">
        <f ca="1">'2026_PCH_ADULT_ALLO_UNREL'!$A$1</f>
        <v>#VALUE!</v>
      </c>
      <c r="B502" s="14" t="e">
        <f t="shared" ca="1" si="130"/>
        <v>#VALUE!</v>
      </c>
      <c r="C502" s="1" t="s">
        <v>372</v>
      </c>
      <c r="D502" s="5" t="e" cm="1">
        <f t="array" aca="1" ref="D502" ca="1">RIGHT(INDIRECT(ADDRESS(7,2,,,$A502)),6)</f>
        <v>#VALUE!</v>
      </c>
      <c r="E502" s="1" t="e" cm="1">
        <f t="array" aca="1" ref="E502" ca="1">RIGHT(INDIRECT(ADDRESS(4,2,,,$A502)),5)</f>
        <v>#VALUE!</v>
      </c>
      <c r="F502" s="22">
        <v>1.0335000000000001</v>
      </c>
      <c r="G502" s="22">
        <f t="shared" si="121"/>
        <v>1.0325</v>
      </c>
      <c r="H502" s="7">
        <v>7</v>
      </c>
      <c r="I502" s="7">
        <v>3</v>
      </c>
      <c r="J502" s="26">
        <v>4</v>
      </c>
      <c r="K502" s="26"/>
      <c r="L502" s="26" t="s">
        <v>350</v>
      </c>
      <c r="M502" s="26" t="s">
        <v>351</v>
      </c>
      <c r="N502" s="9" t="str">
        <f>LEFT(INDEX('2026_PCH_ADULT_ALLO_UNREL'!$A$1:$E$30,MATCH($H502,'2026_PCH_ADULT_ALLO_UNREL'!$A$1:$A$30),MATCH(I502,'2026_PCH_ADULT_ALLO_UNREL'!$A$1:$D$1)),30)</f>
        <v xml:space="preserve">PER DIEM RATES for day 61+ of </v>
      </c>
      <c r="O502" s="16">
        <v>2474</v>
      </c>
      <c r="P502" s="507">
        <f t="shared" si="136"/>
        <v>2554</v>
      </c>
    </row>
    <row r="503" spans="1:17">
      <c r="A503" s="1" t="e">
        <f ca="1">'2026_PCH_ADULT_ALLO_UNREL'!$A$1</f>
        <v>#VALUE!</v>
      </c>
      <c r="B503" s="14" t="e">
        <f t="shared" ca="1" si="130"/>
        <v>#VALUE!</v>
      </c>
      <c r="C503" s="1" t="s">
        <v>372</v>
      </c>
      <c r="D503" s="5" t="e" cm="1">
        <f t="array" aca="1" ref="D503" ca="1">RIGHT(INDIRECT(ADDRESS(7,2,,,$A503)),6)</f>
        <v>#VALUE!</v>
      </c>
      <c r="E503" s="1" t="e" cm="1">
        <f t="array" aca="1" ref="E503" ca="1">RIGHT(INDIRECT(ADDRESS(4,2,,,$A503)),5)</f>
        <v>#VALUE!</v>
      </c>
      <c r="F503" s="22">
        <v>1.0335000000000001</v>
      </c>
      <c r="G503" s="22">
        <f t="shared" si="121"/>
        <v>1.0325</v>
      </c>
      <c r="H503" s="7">
        <v>8</v>
      </c>
      <c r="I503" s="7">
        <v>3</v>
      </c>
      <c r="J503" s="26">
        <v>4</v>
      </c>
      <c r="K503" s="26"/>
      <c r="L503" s="26" t="s">
        <v>350</v>
      </c>
      <c r="M503" s="26" t="s">
        <v>351</v>
      </c>
      <c r="N503" s="9" t="str">
        <f>LEFT(INDEX('2026_PCH_ADULT_ALLO_UNREL'!$A$1:$E$30,MATCH($H503,'2026_PCH_ADULT_ALLO_UNREL'!$A$1:$A$30),MATCH(I503,'2026_PCH_ADULT_ALLO_UNREL'!$A$1:$D$1)),30)</f>
        <v>Days 11+/61+ paid at the per d</v>
      </c>
      <c r="O503" s="16">
        <v>7263.18</v>
      </c>
      <c r="P503" s="509">
        <f>O503*$Q$2</f>
        <v>8014.1928120000002</v>
      </c>
      <c r="Q503" s="14" t="s">
        <v>352</v>
      </c>
    </row>
    <row r="504" spans="1:17">
      <c r="A504" s="1" t="e">
        <f ca="1">'2026_PCH_ADULT_ALLO_UNREL'!$A$1</f>
        <v>#VALUE!</v>
      </c>
      <c r="B504" s="14" t="e">
        <f t="shared" ca="1" si="130"/>
        <v>#VALUE!</v>
      </c>
      <c r="C504" s="1" t="s">
        <v>372</v>
      </c>
      <c r="D504" s="5" t="e" cm="1">
        <f t="array" aca="1" ref="D504" ca="1">RIGHT(INDIRECT(ADDRESS(7,2,,,$A504)),6)</f>
        <v>#VALUE!</v>
      </c>
      <c r="E504" s="1" t="e" cm="1">
        <f t="array" aca="1" ref="E504" ca="1">RIGHT(INDIRECT(ADDRESS(4,2,,,$A504)),5)</f>
        <v>#VALUE!</v>
      </c>
      <c r="F504" s="22">
        <v>1.0335000000000001</v>
      </c>
      <c r="G504" s="22">
        <f t="shared" si="121"/>
        <v>1.0325</v>
      </c>
      <c r="H504" s="7">
        <v>9</v>
      </c>
      <c r="I504" s="7">
        <v>3</v>
      </c>
      <c r="J504" s="26">
        <v>4</v>
      </c>
      <c r="K504" s="26"/>
      <c r="L504" s="26" t="s">
        <v>350</v>
      </c>
      <c r="M504" s="26" t="s">
        <v>351</v>
      </c>
      <c r="N504" s="9" t="str">
        <f>LEFT(INDEX('2026_PCH_ADULT_ALLO_UNREL'!$A$1:$E$30,MATCH($H504,'2026_PCH_ADULT_ALLO_UNREL'!$A$1:$A$30),MATCH(I504,'2026_PCH_ADULT_ALLO_UNREL'!$A$1:$D$1)),30)</f>
        <v>Outliers: Matched unrelated al</v>
      </c>
      <c r="O504" s="16">
        <v>273197</v>
      </c>
      <c r="P504" s="507">
        <f t="shared" ref="P504" si="138">ROUND(O504*$G$2,0)</f>
        <v>282076</v>
      </c>
      <c r="Q504" s="14" t="s">
        <v>353</v>
      </c>
    </row>
    <row r="505" spans="1:17">
      <c r="A505" s="1" t="e">
        <f ca="1">'2026_PCH_ADULT_ALLO_UNREL'!$A$1</f>
        <v>#VALUE!</v>
      </c>
      <c r="B505" s="14" t="e">
        <f t="shared" ca="1" si="130"/>
        <v>#VALUE!</v>
      </c>
      <c r="C505" s="1" t="s">
        <v>372</v>
      </c>
      <c r="D505" s="5" t="e" cm="1">
        <f t="array" aca="1" ref="D505" ca="1">RIGHT(INDIRECT(ADDRESS(7,2,,,$A505)),6)</f>
        <v>#VALUE!</v>
      </c>
      <c r="E505" s="1" t="e" cm="1">
        <f t="array" aca="1" ref="E505" ca="1">RIGHT(INDIRECT(ADDRESS(4,2,,,$A505)),5)</f>
        <v>#VALUE!</v>
      </c>
      <c r="F505" s="22">
        <v>1.0335000000000001</v>
      </c>
      <c r="G505" s="22">
        <f t="shared" si="121"/>
        <v>1.0325</v>
      </c>
      <c r="H505" s="7">
        <v>10</v>
      </c>
      <c r="I505" s="7">
        <v>3</v>
      </c>
      <c r="J505" s="26">
        <v>4</v>
      </c>
      <c r="K505" s="26"/>
      <c r="L505" s="26" t="s">
        <v>350</v>
      </c>
      <c r="M505" s="26" t="s">
        <v>351</v>
      </c>
      <c r="N505" s="9" t="str">
        <f>LEFT(INDEX('2026_PCH_ADULT_ALLO_UNREL'!$A$1:$E$30,MATCH($H505,'2026_PCH_ADULT_ALLO_UNREL'!$A$1:$A$30),MATCH(I505,'2026_PCH_ADULT_ALLO_UNREL'!$A$1:$D$1)),30)</f>
        <v>Rate Above Threshold</v>
      </c>
      <c r="O505" s="16">
        <v>0.5</v>
      </c>
      <c r="P505" s="507">
        <f t="shared" ref="P505" si="139">O505</f>
        <v>0.5</v>
      </c>
      <c r="Q505" s="14" t="s">
        <v>354</v>
      </c>
    </row>
    <row r="506" spans="1:17">
      <c r="A506" s="1" t="e">
        <f ca="1">'2026_PCH_TBI'!$A$1</f>
        <v>#VALUE!</v>
      </c>
      <c r="B506" s="14" t="e">
        <f t="shared" ca="1" si="130"/>
        <v>#VALUE!</v>
      </c>
      <c r="C506" s="1" t="s">
        <v>372</v>
      </c>
      <c r="D506" s="4" t="e" cm="1">
        <f t="array" aca="1" ref="D506" ca="1">RIGHT(INDIRECT(ADDRESS(6,2,,,$A506)),6)</f>
        <v>#VALUE!</v>
      </c>
      <c r="E506" s="1" t="e" cm="1">
        <f t="array" aca="1" ref="E506" ca="1">RIGHT(INDIRECT(ADDRESS(4,2,,,$A506)),5)</f>
        <v>#VALUE!</v>
      </c>
      <c r="F506" s="22">
        <v>1.0335000000000001</v>
      </c>
      <c r="G506" s="22">
        <f t="shared" si="121"/>
        <v>1.0325</v>
      </c>
      <c r="H506" s="7">
        <v>1</v>
      </c>
      <c r="I506" s="7">
        <v>3</v>
      </c>
      <c r="J506" s="26">
        <v>4</v>
      </c>
      <c r="K506" s="26"/>
      <c r="L506" s="26" t="s">
        <v>350</v>
      </c>
      <c r="M506" s="26" t="s">
        <v>351</v>
      </c>
      <c r="N506" s="9" t="str">
        <f>LEFT(INDEX('2026_PCH_TBI'!$A$1:$E$30,MATCH($H506,'2026_PCH_TBI'!$A$1:$A$30),MATCH(I506,'2026_PCH_TBI'!$A$1:$D$1)),30)</f>
        <v xml:space="preserve">TOTAL BODY IRRADIATION (TBI)  </v>
      </c>
      <c r="O506" s="16">
        <v>7818</v>
      </c>
      <c r="P506" s="507">
        <f t="shared" ref="P506" si="140">ROUND(O506*$G$2,0)</f>
        <v>8072</v>
      </c>
    </row>
    <row r="507" spans="1:17">
      <c r="A507" s="1" t="e">
        <f ca="1">'2026_PCH_VOD'!$A$1</f>
        <v>#VALUE!</v>
      </c>
      <c r="B507" s="14" t="e">
        <f t="shared" ca="1" si="130"/>
        <v>#VALUE!</v>
      </c>
      <c r="C507" s="1" t="s">
        <v>372</v>
      </c>
      <c r="D507" s="4" t="e" cm="1">
        <f t="array" aca="1" ref="D507" ca="1">RIGHT(INDIRECT(ADDRESS(6,2,,,$A507)),6)</f>
        <v>#VALUE!</v>
      </c>
      <c r="E507" s="1" t="e" cm="1">
        <f t="array" aca="1" ref="E507" ca="1">RIGHT(INDIRECT(ADDRESS(4,2,,,$A507)),5)</f>
        <v>#VALUE!</v>
      </c>
      <c r="F507" s="22">
        <v>1.0335000000000001</v>
      </c>
      <c r="G507" s="22">
        <f t="shared" si="121"/>
        <v>1.0325</v>
      </c>
      <c r="H507" s="7">
        <v>1</v>
      </c>
      <c r="I507" s="7">
        <v>3</v>
      </c>
      <c r="J507" s="26">
        <v>4</v>
      </c>
      <c r="K507" s="26"/>
      <c r="L507" s="26" t="s">
        <v>350</v>
      </c>
      <c r="M507" s="26" t="s">
        <v>351</v>
      </c>
      <c r="N507" s="9" t="str">
        <f>LEFT(INDEX('2026_PCH_VOD'!$A$1:$E$30,MATCH($H507,'2026_PCH_VOD'!$A$1:$A$30),MATCH(I507,'2026_PCH_VOD'!$A$1:$D$1)),25)</f>
        <v xml:space="preserve">DEFIBROTIDE DRUG THERAPY </v>
      </c>
      <c r="O507" s="16" t="s">
        <v>374</v>
      </c>
      <c r="P507" s="507" t="str">
        <f>O507</f>
        <v>PASS THRU of drug cost only</v>
      </c>
      <c r="Q507" s="14" t="s">
        <v>354</v>
      </c>
    </row>
    <row r="508" spans="1:17">
      <c r="A508" s="1" t="e">
        <f ca="1">'2026_PCH_KIDNEY_LIVING'!$A$1</f>
        <v>#VALUE!</v>
      </c>
      <c r="B508" s="14" t="e">
        <f t="shared" ca="1" si="130"/>
        <v>#VALUE!</v>
      </c>
      <c r="C508" s="1" t="s">
        <v>372</v>
      </c>
      <c r="D508" s="4" t="e" cm="1">
        <f t="array" aca="1" ref="D508" ca="1">RIGHT(INDIRECT(ADDRESS(6,2,,,$A508)),6)</f>
        <v>#VALUE!</v>
      </c>
      <c r="E508" s="1" t="e" cm="1">
        <f t="array" aca="1" ref="E508" ca="1">RIGHT(INDIRECT(ADDRESS(4,2,,,$A508)),5)</f>
        <v>#VALUE!</v>
      </c>
      <c r="F508" s="22">
        <v>1.0335000000000001</v>
      </c>
      <c r="G508" s="22">
        <f t="shared" si="121"/>
        <v>1.0325</v>
      </c>
      <c r="H508" s="7">
        <v>1</v>
      </c>
      <c r="I508" s="7">
        <v>3</v>
      </c>
      <c r="J508" s="26">
        <v>4</v>
      </c>
      <c r="K508" s="26"/>
      <c r="L508" s="26" t="s">
        <v>350</v>
      </c>
      <c r="M508" s="26" t="s">
        <v>351</v>
      </c>
      <c r="N508" s="9" t="str">
        <f>LEFT(INDEX('2026_PCH_KIDNEY_LIVING'!$A$1:$E$30,MATCH($H508,'2026_PCH_KIDNEY_LIVING'!$A$1:$A$30),MATCH(I508,'2026_PCH_KIDNEY_LIVING'!$A$1:$D$1)),30)</f>
        <v>OUTPATIENT EVALUATION* - Initi</v>
      </c>
      <c r="O508" s="16">
        <v>5870</v>
      </c>
      <c r="P508" s="507">
        <f t="shared" ref="P508:P511" si="141">ROUND(O508*$G$2,0)</f>
        <v>6061</v>
      </c>
    </row>
    <row r="509" spans="1:17">
      <c r="A509" s="1" t="e">
        <f ca="1">'2026_PCH_KIDNEY_LIVING'!$A$1</f>
        <v>#VALUE!</v>
      </c>
      <c r="B509" s="14" t="e">
        <f t="shared" ca="1" si="130"/>
        <v>#VALUE!</v>
      </c>
      <c r="C509" s="1" t="s">
        <v>372</v>
      </c>
      <c r="D509" s="4" t="e" cm="1">
        <f t="array" aca="1" ref="D509" ca="1">RIGHT(INDIRECT(ADDRESS(6,2,,,$A509)),6)</f>
        <v>#VALUE!</v>
      </c>
      <c r="E509" s="1" t="e" cm="1">
        <f t="array" aca="1" ref="E509" ca="1">RIGHT(INDIRECT(ADDRESS(4,2,,,$A509)),5)</f>
        <v>#VALUE!</v>
      </c>
      <c r="F509" s="22">
        <v>1.0335000000000001</v>
      </c>
      <c r="G509" s="22">
        <f t="shared" si="121"/>
        <v>1.0325</v>
      </c>
      <c r="H509" s="7">
        <v>2</v>
      </c>
      <c r="I509" s="7">
        <v>3</v>
      </c>
      <c r="J509" s="26">
        <v>4</v>
      </c>
      <c r="K509" s="26"/>
      <c r="L509" s="26" t="s">
        <v>350</v>
      </c>
      <c r="M509" s="26" t="s">
        <v>351</v>
      </c>
      <c r="N509" s="9" t="str">
        <f>LEFT(INDEX('2026_PCH_KIDNEY_LIVING'!$A$1:$E$30,MATCH($H509,'2026_PCH_KIDNEY_LIVING'!$A$1:$A$30),MATCH(I509,'2026_PCH_KIDNEY_LIVING'!$A$1:$D$1)),30)</f>
        <v xml:space="preserve">PREP AND TRANSPLANT UP TO AND </v>
      </c>
      <c r="O509" s="16">
        <v>126927</v>
      </c>
      <c r="P509" s="507">
        <f t="shared" si="141"/>
        <v>131052</v>
      </c>
    </row>
    <row r="510" spans="1:17">
      <c r="A510" s="1" t="e">
        <f ca="1">'2026_PCH_KIDNEY_LIVING'!$A$1</f>
        <v>#VALUE!</v>
      </c>
      <c r="B510" s="14" t="e">
        <f t="shared" ca="1" si="130"/>
        <v>#VALUE!</v>
      </c>
      <c r="C510" s="1" t="s">
        <v>372</v>
      </c>
      <c r="D510" s="4" t="e" cm="1">
        <f t="array" aca="1" ref="D510" ca="1">RIGHT(INDIRECT(ADDRESS(6,2,,,$A510)),6)</f>
        <v>#VALUE!</v>
      </c>
      <c r="E510" s="1" t="e" cm="1">
        <f t="array" aca="1" ref="E510" ca="1">RIGHT(INDIRECT(ADDRESS(4,2,,,$A510)),5)</f>
        <v>#VALUE!</v>
      </c>
      <c r="F510" s="22">
        <v>1.0335000000000001</v>
      </c>
      <c r="G510" s="22">
        <f t="shared" si="121"/>
        <v>1.0325</v>
      </c>
      <c r="H510" s="7">
        <v>3</v>
      </c>
      <c r="I510" s="7">
        <v>3</v>
      </c>
      <c r="J510" s="26">
        <v>4</v>
      </c>
      <c r="K510" s="26"/>
      <c r="L510" s="26" t="s">
        <v>350</v>
      </c>
      <c r="M510" s="26" t="s">
        <v>351</v>
      </c>
      <c r="N510" s="9" t="str">
        <f>LEFT(INDEX('2026_PCH_KIDNEY_LIVING'!$A$1:$E$30,MATCH($H510,'2026_PCH_KIDNEY_LIVING'!$A$1:$A$30),MATCH(I510,'2026_PCH_KIDNEY_LIVING'!$A$1:$D$1)),30)</f>
        <v>LIVING DONOR SURGERY AND INPAT</v>
      </c>
      <c r="O510" s="16">
        <v>22000</v>
      </c>
      <c r="P510" s="507">
        <f t="shared" si="141"/>
        <v>22715</v>
      </c>
    </row>
    <row r="511" spans="1:17">
      <c r="A511" s="1" t="e">
        <f ca="1">'2026_PCH_KIDNEY_LIVING'!$A$1</f>
        <v>#VALUE!</v>
      </c>
      <c r="B511" s="14" t="e">
        <f t="shared" ca="1" si="130"/>
        <v>#VALUE!</v>
      </c>
      <c r="C511" s="1" t="s">
        <v>372</v>
      </c>
      <c r="D511" s="4" t="e" cm="1">
        <f t="array" aca="1" ref="D511" ca="1">RIGHT(INDIRECT(ADDRESS(6,2,,,$A511)),6)</f>
        <v>#VALUE!</v>
      </c>
      <c r="E511" s="1" t="e" cm="1">
        <f t="array" aca="1" ref="E511" ca="1">RIGHT(INDIRECT(ADDRESS(4,2,,,$A511)),5)</f>
        <v>#VALUE!</v>
      </c>
      <c r="F511" s="22">
        <v>1.0335000000000001</v>
      </c>
      <c r="G511" s="22">
        <f t="shared" si="121"/>
        <v>1.0325</v>
      </c>
      <c r="H511" s="7">
        <v>4</v>
      </c>
      <c r="I511" s="7">
        <v>3</v>
      </c>
      <c r="J511" s="26">
        <v>4</v>
      </c>
      <c r="K511" s="26"/>
      <c r="L511" s="26" t="s">
        <v>350</v>
      </c>
      <c r="M511" s="26" t="s">
        <v>351</v>
      </c>
      <c r="N511" s="9" t="str">
        <f>LEFT(INDEX('2026_PCH_KIDNEY_LIVING'!$A$1:$E$30,MATCH($H511,'2026_PCH_KIDNEY_LIVING'!$A$1:$A$30),MATCH(I511,'2026_PCH_KIDNEY_LIVING'!$A$1:$D$1)),30)</f>
        <v xml:space="preserve">PER DIEM RATES for day 11+ of </v>
      </c>
      <c r="O511" s="16">
        <v>2474</v>
      </c>
      <c r="P511" s="507">
        <f t="shared" si="141"/>
        <v>2554</v>
      </c>
    </row>
    <row r="512" spans="1:17">
      <c r="A512" s="1" t="e">
        <f ca="1">'2026_PCH_KIDNEY_LIVING'!$A$1</f>
        <v>#VALUE!</v>
      </c>
      <c r="B512" s="14" t="e">
        <f t="shared" ca="1" si="130"/>
        <v>#VALUE!</v>
      </c>
      <c r="C512" s="1" t="s">
        <v>372</v>
      </c>
      <c r="D512" s="4" t="e" cm="1">
        <f t="array" aca="1" ref="D512" ca="1">RIGHT(INDIRECT(ADDRESS(6,2,,,$A512)),6)</f>
        <v>#VALUE!</v>
      </c>
      <c r="E512" s="1" t="e" cm="1">
        <f t="array" aca="1" ref="E512" ca="1">RIGHT(INDIRECT(ADDRESS(4,2,,,$A512)),5)</f>
        <v>#VALUE!</v>
      </c>
      <c r="F512" s="22">
        <v>1.0335000000000001</v>
      </c>
      <c r="G512" s="22">
        <f t="shared" si="121"/>
        <v>1.0325</v>
      </c>
      <c r="H512" s="7">
        <v>5</v>
      </c>
      <c r="I512" s="7">
        <v>3</v>
      </c>
      <c r="J512" s="26">
        <v>4</v>
      </c>
      <c r="K512" s="26"/>
      <c r="L512" s="26" t="s">
        <v>350</v>
      </c>
      <c r="M512" s="26" t="s">
        <v>351</v>
      </c>
      <c r="N512" s="9" t="str">
        <f>LEFT(INDEX('2026_PCH_KIDNEY_LIVING'!$A$1:$E$30,MATCH($H512,'2026_PCH_KIDNEY_LIVING'!$A$1:$A$30),MATCH(I512,'2026_PCH_KIDNEY_LIVING'!$A$1:$D$1)),30)</f>
        <v>Days 11+/61+ paid at the per d</v>
      </c>
      <c r="O512" s="16">
        <v>7263.18</v>
      </c>
      <c r="P512" s="509">
        <f>O512*$Q$2</f>
        <v>8014.1928120000002</v>
      </c>
      <c r="Q512" s="14" t="s">
        <v>352</v>
      </c>
    </row>
    <row r="513" spans="1:20">
      <c r="A513" s="1" t="e">
        <f ca="1">'2026_PCH_KIDNEY_CADAVERIC'!$A$1</f>
        <v>#VALUE!</v>
      </c>
      <c r="B513" s="14" t="e">
        <f t="shared" ca="1" si="130"/>
        <v>#VALUE!</v>
      </c>
      <c r="C513" s="1" t="s">
        <v>372</v>
      </c>
      <c r="D513" s="4" t="e" cm="1">
        <f t="array" aca="1" ref="D513" ca="1">RIGHT(INDIRECT(ADDRESS(6,2,,,$A513)),6)</f>
        <v>#VALUE!</v>
      </c>
      <c r="E513" s="1" t="e" cm="1">
        <f t="array" aca="1" ref="E513" ca="1">RIGHT(INDIRECT(ADDRESS(4,2,,,$A513)),5)</f>
        <v>#VALUE!</v>
      </c>
      <c r="F513" s="22">
        <v>1.0335000000000001</v>
      </c>
      <c r="G513" s="22">
        <f t="shared" si="121"/>
        <v>1.0325</v>
      </c>
      <c r="H513" s="7">
        <v>1</v>
      </c>
      <c r="I513" s="7">
        <v>3</v>
      </c>
      <c r="J513" s="26">
        <v>4</v>
      </c>
      <c r="K513" s="26"/>
      <c r="L513" s="26" t="s">
        <v>350</v>
      </c>
      <c r="M513" s="26" t="s">
        <v>351</v>
      </c>
      <c r="N513" s="9" t="str">
        <f>LEFT(INDEX('2026_PCH_KIDNEY_CADAVERIC'!$A$1:$E$30,MATCH($H513,'2026_PCH_KIDNEY_CADAVERIC'!$A$1:$A$30),MATCH(I513,'2026_PCH_KIDNEY_CADAVERIC'!$A$1:$D$1)),30)</f>
        <v>OUTPATIENT EVALUATION* - Initi</v>
      </c>
      <c r="O513" s="16">
        <v>5600</v>
      </c>
      <c r="P513" s="507">
        <f t="shared" ref="P513:P515" si="142">ROUND(O513*$G$2,0)</f>
        <v>5782</v>
      </c>
    </row>
    <row r="514" spans="1:20">
      <c r="A514" s="1" t="e">
        <f ca="1">'2026_PCH_KIDNEY_CADAVERIC'!$A$1</f>
        <v>#VALUE!</v>
      </c>
      <c r="B514" s="14" t="e">
        <f t="shared" ca="1" si="130"/>
        <v>#VALUE!</v>
      </c>
      <c r="C514" s="1" t="s">
        <v>372</v>
      </c>
      <c r="D514" s="4" t="e" cm="1">
        <f t="array" aca="1" ref="D514" ca="1">RIGHT(INDIRECT(ADDRESS(6,2,,,$A514)),6)</f>
        <v>#VALUE!</v>
      </c>
      <c r="E514" s="1" t="e" cm="1">
        <f t="array" aca="1" ref="E514" ca="1">RIGHT(INDIRECT(ADDRESS(4,2,,,$A514)),5)</f>
        <v>#VALUE!</v>
      </c>
      <c r="F514" s="22">
        <v>1.0335000000000001</v>
      </c>
      <c r="G514" s="22">
        <f t="shared" si="121"/>
        <v>1.0325</v>
      </c>
      <c r="H514" s="7">
        <v>2</v>
      </c>
      <c r="I514" s="7">
        <v>3</v>
      </c>
      <c r="J514" s="26">
        <v>4</v>
      </c>
      <c r="K514" s="26"/>
      <c r="L514" s="26" t="s">
        <v>350</v>
      </c>
      <c r="M514" s="26" t="s">
        <v>351</v>
      </c>
      <c r="N514" s="9" t="str">
        <f>LEFT(INDEX('2026_PCH_KIDNEY_CADAVERIC'!$A$1:$E$30,MATCH($H514,'2026_PCH_KIDNEY_CADAVERIC'!$A$1:$A$30),MATCH(I514,'2026_PCH_KIDNEY_CADAVERIC'!$A$1:$D$1)),30)</f>
        <v xml:space="preserve">PREP AND TRANSPLANT UP TO AND </v>
      </c>
      <c r="O514" s="16">
        <v>125233</v>
      </c>
      <c r="P514" s="507">
        <f t="shared" si="142"/>
        <v>129303</v>
      </c>
    </row>
    <row r="515" spans="1:20">
      <c r="A515" s="1" t="e">
        <f ca="1">'2026_PCH_KIDNEY_CADAVERIC'!$A$1</f>
        <v>#VALUE!</v>
      </c>
      <c r="B515" s="14" t="e">
        <f t="shared" ca="1" si="130"/>
        <v>#VALUE!</v>
      </c>
      <c r="C515" s="1" t="s">
        <v>372</v>
      </c>
      <c r="D515" s="4" t="e" cm="1">
        <f t="array" aca="1" ref="D515" ca="1">RIGHT(INDIRECT(ADDRESS(6,2,,,$A515)),6)</f>
        <v>#VALUE!</v>
      </c>
      <c r="E515" s="1" t="e" cm="1">
        <f t="array" aca="1" ref="E515" ca="1">RIGHT(INDIRECT(ADDRESS(4,2,,,$A515)),5)</f>
        <v>#VALUE!</v>
      </c>
      <c r="F515" s="22">
        <v>1.0335000000000001</v>
      </c>
      <c r="G515" s="22">
        <f t="shared" si="121"/>
        <v>1.0325</v>
      </c>
      <c r="H515" s="7">
        <v>3</v>
      </c>
      <c r="I515" s="7">
        <v>3</v>
      </c>
      <c r="J515" s="26">
        <v>4</v>
      </c>
      <c r="K515" s="26"/>
      <c r="L515" s="26" t="s">
        <v>350</v>
      </c>
      <c r="M515" s="26" t="s">
        <v>351</v>
      </c>
      <c r="N515" s="9" t="str">
        <f>LEFT(INDEX('2026_PCH_KIDNEY_CADAVERIC'!$A$1:$E$30,MATCH($H515,'2026_PCH_KIDNEY_CADAVERIC'!$A$1:$A$30),MATCH(I515,'2026_PCH_KIDNEY_CADAVERIC'!$A$1:$D$1)),30)</f>
        <v xml:space="preserve">PER DIEM RATES for day 11+ of </v>
      </c>
      <c r="O515" s="16">
        <v>2474</v>
      </c>
      <c r="P515" s="507">
        <f t="shared" si="142"/>
        <v>2554</v>
      </c>
    </row>
    <row r="516" spans="1:20">
      <c r="A516" s="1" t="e">
        <f ca="1">'2026_PCH_KIDNEY_CADAVERIC'!$A$1</f>
        <v>#VALUE!</v>
      </c>
      <c r="B516" s="14" t="e">
        <f t="shared" ca="1" si="130"/>
        <v>#VALUE!</v>
      </c>
      <c r="C516" s="1" t="s">
        <v>372</v>
      </c>
      <c r="D516" s="4" t="e" cm="1">
        <f t="array" aca="1" ref="D516" ca="1">RIGHT(INDIRECT(ADDRESS(6,2,,,$A516)),6)</f>
        <v>#VALUE!</v>
      </c>
      <c r="E516" s="1" t="e" cm="1">
        <f t="array" aca="1" ref="E516" ca="1">RIGHT(INDIRECT(ADDRESS(4,2,,,$A516)),5)</f>
        <v>#VALUE!</v>
      </c>
      <c r="F516" s="22">
        <v>1.0335000000000001</v>
      </c>
      <c r="G516" s="22">
        <f t="shared" si="121"/>
        <v>1.0325</v>
      </c>
      <c r="H516" s="7">
        <v>4</v>
      </c>
      <c r="I516" s="7">
        <v>3</v>
      </c>
      <c r="J516" s="26">
        <v>4</v>
      </c>
      <c r="K516" s="26"/>
      <c r="L516" s="26" t="s">
        <v>350</v>
      </c>
      <c r="M516" s="26" t="s">
        <v>351</v>
      </c>
      <c r="N516" s="9" t="str">
        <f>LEFT(INDEX('2026_PCH_KIDNEY_CADAVERIC'!$A$1:$E$30,MATCH($H516,'2026_PCH_KIDNEY_CADAVERIC'!$A$1:$A$30),MATCH(I516,'2026_PCH_KIDNEY_CADAVERIC'!$A$1:$D$1)),30)</f>
        <v>Days 11+/61+ paid at the per d</v>
      </c>
      <c r="O516" s="16">
        <v>7263.18</v>
      </c>
      <c r="P516" s="509">
        <f>O516*$Q$2</f>
        <v>8014.1928120000002</v>
      </c>
      <c r="Q516" s="14" t="s">
        <v>352</v>
      </c>
    </row>
    <row r="517" spans="1:20">
      <c r="A517" s="1" t="e">
        <f ca="1">'2026_PCH_PEDIATRIC_HEART'!$A$1</f>
        <v>#VALUE!</v>
      </c>
      <c r="B517" s="14" t="e">
        <f t="shared" ca="1" si="130"/>
        <v>#VALUE!</v>
      </c>
      <c r="C517" s="1" t="s">
        <v>372</v>
      </c>
      <c r="D517" s="4" t="e" cm="1">
        <f t="array" aca="1" ref="D517" ca="1">RIGHT(INDIRECT(ADDRESS(6,2,,,$A517)),6)</f>
        <v>#VALUE!</v>
      </c>
      <c r="E517" s="1" t="e" cm="1">
        <f t="array" aca="1" ref="E517" ca="1">RIGHT(INDIRECT(ADDRESS(4,2,,,$A517)),5)</f>
        <v>#VALUE!</v>
      </c>
      <c r="F517" s="22">
        <v>1.0335000000000001</v>
      </c>
      <c r="G517" s="22">
        <f t="shared" ref="G517:G580" si="143">$G$2</f>
        <v>1.0325</v>
      </c>
      <c r="H517" s="7">
        <v>1</v>
      </c>
      <c r="I517" s="7">
        <v>3</v>
      </c>
      <c r="J517" s="26">
        <v>4</v>
      </c>
      <c r="K517" s="26"/>
      <c r="L517" s="26" t="s">
        <v>350</v>
      </c>
      <c r="M517" s="26" t="s">
        <v>351</v>
      </c>
      <c r="N517" s="9" t="str">
        <f>LEFT(INDEX('2026_PCH_PEDIATRIC_HEART'!$A$1:$E$30,MATCH($H517,'2026_PCH_PEDIATRIC_HEART'!$A$1:$A$30),MATCH(I517,'2026_PCH_PEDIATRIC_HEART'!$A$1:$D$1)),30)</f>
        <v>OUTPATIENT EVALUATION* - Initi</v>
      </c>
      <c r="O517" s="16">
        <v>10978</v>
      </c>
      <c r="P517" s="507">
        <f t="shared" ref="P517:P521" si="144">ROUND(O517*$G$2,0)</f>
        <v>11335</v>
      </c>
    </row>
    <row r="518" spans="1:20">
      <c r="A518" s="1" t="e">
        <f ca="1">'2026_PCH_PEDIATRIC_HEART'!$A$1</f>
        <v>#VALUE!</v>
      </c>
      <c r="B518" s="14" t="e">
        <f t="shared" ca="1" si="130"/>
        <v>#VALUE!</v>
      </c>
      <c r="C518" s="1" t="s">
        <v>372</v>
      </c>
      <c r="D518" s="4" t="e" cm="1">
        <f t="array" aca="1" ref="D518" ca="1">RIGHT(INDIRECT(ADDRESS(6,2,,,$A518)),6)</f>
        <v>#VALUE!</v>
      </c>
      <c r="E518" s="1" t="e" cm="1">
        <f t="array" aca="1" ref="E518" ca="1">RIGHT(INDIRECT(ADDRESS(4,2,,,$A518)),5)</f>
        <v>#VALUE!</v>
      </c>
      <c r="F518" s="22">
        <v>1.0335000000000001</v>
      </c>
      <c r="G518" s="22">
        <f t="shared" si="143"/>
        <v>1.0325</v>
      </c>
      <c r="H518" s="7">
        <v>2</v>
      </c>
      <c r="I518" s="7">
        <v>3</v>
      </c>
      <c r="J518" s="26">
        <v>4</v>
      </c>
      <c r="K518" s="26"/>
      <c r="L518" s="26" t="s">
        <v>350</v>
      </c>
      <c r="M518" s="26" t="s">
        <v>351</v>
      </c>
      <c r="N518" s="9" t="str">
        <f>LEFT(INDEX('2026_PCH_PEDIATRIC_HEART'!$A$1:$E$30,MATCH($H518,'2026_PCH_PEDIATRIC_HEART'!$A$1:$A$30),MATCH(I518,'2026_PCH_PEDIATRIC_HEART'!$A$1:$D$1)),30)</f>
        <v>PREP AND TRANSPLANT</v>
      </c>
      <c r="O518" s="16">
        <v>202625</v>
      </c>
      <c r="P518" s="507">
        <f t="shared" si="144"/>
        <v>209210</v>
      </c>
    </row>
    <row r="519" spans="1:20">
      <c r="A519" s="1" t="e">
        <f ca="1">'2026_PCH_PEDIATRIC_HEART'!$A$1</f>
        <v>#VALUE!</v>
      </c>
      <c r="B519" s="14" t="e">
        <f t="shared" ca="1" si="130"/>
        <v>#VALUE!</v>
      </c>
      <c r="C519" s="1" t="s">
        <v>372</v>
      </c>
      <c r="D519" s="4" t="e" cm="1">
        <f t="array" aca="1" ref="D519" ca="1">RIGHT(INDIRECT(ADDRESS(6,2,,,$A519)),6)</f>
        <v>#VALUE!</v>
      </c>
      <c r="E519" s="1" t="e" cm="1">
        <f t="array" aca="1" ref="E519" ca="1">RIGHT(INDIRECT(ADDRESS(4,2,,,$A519)),5)</f>
        <v>#VALUE!</v>
      </c>
      <c r="F519" s="22">
        <v>1.0335000000000001</v>
      </c>
      <c r="G519" s="22">
        <f t="shared" si="143"/>
        <v>1.0325</v>
      </c>
      <c r="H519" s="7">
        <v>3</v>
      </c>
      <c r="I519" s="7">
        <v>3</v>
      </c>
      <c r="J519" s="26">
        <v>4</v>
      </c>
      <c r="K519" s="26"/>
      <c r="L519" s="26" t="s">
        <v>350</v>
      </c>
      <c r="M519" s="26" t="s">
        <v>351</v>
      </c>
      <c r="N519" s="9" t="str">
        <f>LEFT(INDEX('2026_PCH_PEDIATRIC_HEART'!$A$1:$E$30,MATCH($H519,'2026_PCH_PEDIATRIC_HEART'!$A$1:$A$30),MATCH(I519,'2026_PCH_PEDIATRIC_HEART'!$A$1:$D$1)),30)</f>
        <v>FOLLOW UP CARE - From day 1 po</v>
      </c>
      <c r="O519" s="16">
        <v>151969</v>
      </c>
      <c r="P519" s="507">
        <f t="shared" si="144"/>
        <v>156908</v>
      </c>
    </row>
    <row r="520" spans="1:20">
      <c r="A520" s="1" t="e">
        <f ca="1">'2026_PCH_PEDIATRIC_HEART'!$A$1</f>
        <v>#VALUE!</v>
      </c>
      <c r="B520" s="14" t="e">
        <f t="shared" ca="1" si="130"/>
        <v>#VALUE!</v>
      </c>
      <c r="C520" s="1" t="s">
        <v>372</v>
      </c>
      <c r="D520" s="4" t="e" cm="1">
        <f t="array" aca="1" ref="D520" ca="1">RIGHT(INDIRECT(ADDRESS(6,2,,,$A520)),6)</f>
        <v>#VALUE!</v>
      </c>
      <c r="E520" s="1" t="e" cm="1">
        <f t="array" aca="1" ref="E520" ca="1">RIGHT(INDIRECT(ADDRESS(4,2,,,$A520)),5)</f>
        <v>#VALUE!</v>
      </c>
      <c r="F520" s="22">
        <v>1.0335000000000001</v>
      </c>
      <c r="G520" s="22">
        <f t="shared" si="143"/>
        <v>1.0325</v>
      </c>
      <c r="H520" s="7">
        <v>4</v>
      </c>
      <c r="I520" s="7">
        <v>3</v>
      </c>
      <c r="J520" s="26">
        <v>4</v>
      </c>
      <c r="K520" s="26"/>
      <c r="L520" s="26" t="s">
        <v>350</v>
      </c>
      <c r="M520" s="26" t="s">
        <v>351</v>
      </c>
      <c r="N520" s="9" t="str">
        <f>LEFT(INDEX('2026_PCH_PEDIATRIC_HEART'!$A$1:$E$30,MATCH($H520,'2026_PCH_PEDIATRIC_HEART'!$A$1:$A$30),MATCH(I520,'2026_PCH_PEDIATRIC_HEART'!$A$1:$D$1)),30)</f>
        <v xml:space="preserve">FOLLOW UP CARE - From day 31  </v>
      </c>
      <c r="O520" s="16">
        <v>57893</v>
      </c>
      <c r="P520" s="507">
        <f t="shared" si="144"/>
        <v>59775</v>
      </c>
    </row>
    <row r="521" spans="1:20">
      <c r="A521" s="1" t="e">
        <f ca="1">'2026_PCH_PEDIATRIC_HEART'!$A$1</f>
        <v>#VALUE!</v>
      </c>
      <c r="B521" s="14" t="e">
        <f t="shared" ca="1" si="130"/>
        <v>#VALUE!</v>
      </c>
      <c r="C521" s="1" t="s">
        <v>372</v>
      </c>
      <c r="D521" s="4" t="e" cm="1">
        <f t="array" aca="1" ref="D521" ca="1">RIGHT(INDIRECT(ADDRESS(6,2,,,$A521)),6)</f>
        <v>#VALUE!</v>
      </c>
      <c r="E521" s="1" t="e" cm="1">
        <f t="array" aca="1" ref="E521" ca="1">RIGHT(INDIRECT(ADDRESS(4,2,,,$A521)),5)</f>
        <v>#VALUE!</v>
      </c>
      <c r="F521" s="22">
        <v>1.0335000000000001</v>
      </c>
      <c r="G521" s="22">
        <f t="shared" si="143"/>
        <v>1.0325</v>
      </c>
      <c r="H521" s="7">
        <v>5</v>
      </c>
      <c r="I521" s="7">
        <v>3</v>
      </c>
      <c r="J521" s="26">
        <v>4</v>
      </c>
      <c r="K521" s="26"/>
      <c r="L521" s="26" t="s">
        <v>350</v>
      </c>
      <c r="M521" s="26" t="s">
        <v>351</v>
      </c>
      <c r="N521" s="9" t="str">
        <f>LEFT(INDEX('2026_PCH_PEDIATRIC_HEART'!$A$1:$E$30,MATCH($H521,'2026_PCH_PEDIATRIC_HEART'!$A$1:$A$30),MATCH(I521,'2026_PCH_PEDIATRIC_HEART'!$A$1:$D$1)),30)</f>
        <v xml:space="preserve">PER DIEM RATES for day 61+ of </v>
      </c>
      <c r="O521" s="16">
        <v>2474</v>
      </c>
      <c r="P521" s="507">
        <f t="shared" si="144"/>
        <v>2554</v>
      </c>
    </row>
    <row r="522" spans="1:20">
      <c r="A522" s="1" t="e">
        <f ca="1">'2026_PCH_PEDIATRIC_HEART'!$A$1</f>
        <v>#VALUE!</v>
      </c>
      <c r="B522" s="14" t="e">
        <f t="shared" ca="1" si="130"/>
        <v>#VALUE!</v>
      </c>
      <c r="C522" s="1" t="s">
        <v>372</v>
      </c>
      <c r="D522" s="4" t="e" cm="1">
        <f t="array" aca="1" ref="D522" ca="1">RIGHT(INDIRECT(ADDRESS(6,2,,,$A522)),6)</f>
        <v>#VALUE!</v>
      </c>
      <c r="E522" s="1" t="e" cm="1">
        <f t="array" aca="1" ref="E522" ca="1">RIGHT(INDIRECT(ADDRESS(4,2,,,$A522)),5)</f>
        <v>#VALUE!</v>
      </c>
      <c r="F522" s="22">
        <v>1.0335000000000001</v>
      </c>
      <c r="G522" s="22">
        <f t="shared" si="143"/>
        <v>1.0325</v>
      </c>
      <c r="H522" s="7">
        <v>6</v>
      </c>
      <c r="I522" s="7">
        <v>3</v>
      </c>
      <c r="J522" s="26">
        <v>4</v>
      </c>
      <c r="K522" s="26"/>
      <c r="L522" s="26" t="s">
        <v>350</v>
      </c>
      <c r="M522" s="26" t="s">
        <v>351</v>
      </c>
      <c r="N522" s="9" t="str">
        <f>LEFT(INDEX('2026_PCH_PEDIATRIC_HEART'!$A$1:$E$30,MATCH($H522,'2026_PCH_PEDIATRIC_HEART'!$A$1:$A$30),MATCH(I522,'2026_PCH_PEDIATRIC_HEART'!$A$1:$D$1)),30)</f>
        <v>Days 11+/61+ paid at the per d</v>
      </c>
      <c r="O522" s="16">
        <v>7263.18</v>
      </c>
      <c r="P522" s="509">
        <f>O522*$Q$2</f>
        <v>8014.1928120000002</v>
      </c>
      <c r="Q522" s="14" t="s">
        <v>352</v>
      </c>
    </row>
    <row r="523" spans="1:20">
      <c r="A523" s="1" t="e">
        <f ca="1">'2026_PCH_PEDIATRIC_HEART'!$A$1</f>
        <v>#VALUE!</v>
      </c>
      <c r="B523" s="14" t="e">
        <f t="shared" ca="1" si="130"/>
        <v>#VALUE!</v>
      </c>
      <c r="C523" s="1" t="s">
        <v>372</v>
      </c>
      <c r="D523" s="4" t="e" cm="1">
        <f t="array" aca="1" ref="D523" ca="1">RIGHT(INDIRECT(ADDRESS(6,2,,,$A523)),6)</f>
        <v>#VALUE!</v>
      </c>
      <c r="E523" s="1" t="e" cm="1">
        <f t="array" aca="1" ref="E523" ca="1">RIGHT(INDIRECT(ADDRESS(4,2,,,$A523)),5)</f>
        <v>#VALUE!</v>
      </c>
      <c r="F523" s="22">
        <v>1.0335000000000001</v>
      </c>
      <c r="G523" s="22">
        <f t="shared" si="143"/>
        <v>1.0325</v>
      </c>
      <c r="H523" s="7">
        <v>7</v>
      </c>
      <c r="I523" s="7">
        <v>3</v>
      </c>
      <c r="J523" s="26">
        <v>4</v>
      </c>
      <c r="K523" s="26"/>
      <c r="L523" s="26" t="s">
        <v>350</v>
      </c>
      <c r="M523" s="26" t="s">
        <v>351</v>
      </c>
      <c r="N523" s="9" t="str">
        <f>LEFT(INDEX('2026_PCH_PEDIATRIC_HEART'!$A$1:$E$30,MATCH($H523,'2026_PCH_PEDIATRIC_HEART'!$A$1:$A$30),MATCH(I523,'2026_PCH_PEDIATRIC_HEART'!$A$1:$D$1)),30)</f>
        <v xml:space="preserve">Outlier:  Heart cases will be </v>
      </c>
      <c r="O523" s="16">
        <v>1484770</v>
      </c>
      <c r="P523" s="507">
        <f t="shared" ref="P523" si="145">ROUND(O523*$G$2,0)</f>
        <v>1533025</v>
      </c>
      <c r="Q523" s="14" t="s">
        <v>353</v>
      </c>
    </row>
    <row r="524" spans="1:20">
      <c r="A524" s="1" t="e">
        <f ca="1">'2026_PCH_PEDIATRIC_HEART'!$A$1</f>
        <v>#VALUE!</v>
      </c>
      <c r="B524" s="14" t="e">
        <f t="shared" ca="1" si="130"/>
        <v>#VALUE!</v>
      </c>
      <c r="C524" s="1" t="s">
        <v>372</v>
      </c>
      <c r="D524" s="4" t="e" cm="1">
        <f t="array" aca="1" ref="D524" ca="1">RIGHT(INDIRECT(ADDRESS(6,2,,,$A524)),6)</f>
        <v>#VALUE!</v>
      </c>
      <c r="E524" s="1" t="e" cm="1">
        <f t="array" aca="1" ref="E524" ca="1">RIGHT(INDIRECT(ADDRESS(4,2,,,$A524)),5)</f>
        <v>#VALUE!</v>
      </c>
      <c r="F524" s="22">
        <v>1.0335000000000001</v>
      </c>
      <c r="G524" s="22">
        <f t="shared" si="143"/>
        <v>1.0325</v>
      </c>
      <c r="H524" s="7">
        <v>8</v>
      </c>
      <c r="I524" s="7">
        <v>3</v>
      </c>
      <c r="J524" s="26">
        <v>4</v>
      </c>
      <c r="K524" s="26"/>
      <c r="L524" s="26" t="s">
        <v>350</v>
      </c>
      <c r="M524" s="26" t="s">
        <v>351</v>
      </c>
      <c r="N524" s="9" t="str">
        <f>LEFT(INDEX('2026_PCH_PEDIATRIC_HEART'!$A$1:$E$30,MATCH($H524,'2026_PCH_PEDIATRIC_HEART'!$A$1:$A$30),MATCH(I524,'2026_PCH_PEDIATRIC_HEART'!$A$1:$D$1)),30)</f>
        <v>Rate Above Threshold</v>
      </c>
      <c r="O524" s="16">
        <v>0.5</v>
      </c>
      <c r="P524" s="507">
        <f>O524</f>
        <v>0.5</v>
      </c>
      <c r="Q524" s="14" t="s">
        <v>354</v>
      </c>
    </row>
    <row r="525" spans="1:20">
      <c r="A525" s="519" t="e">
        <f>#REF!</f>
        <v>#REF!</v>
      </c>
      <c r="B525" s="195" t="e">
        <f t="shared" ca="1" si="130"/>
        <v>#REF!</v>
      </c>
      <c r="C525" s="194" t="s">
        <v>372</v>
      </c>
      <c r="D525" s="512" t="s">
        <v>375</v>
      </c>
      <c r="E525" s="194" t="s">
        <v>376</v>
      </c>
      <c r="F525" s="513">
        <v>1.05</v>
      </c>
      <c r="G525" s="513">
        <f t="shared" si="143"/>
        <v>1.0325</v>
      </c>
      <c r="H525" s="514">
        <v>1</v>
      </c>
      <c r="I525" s="514">
        <v>3</v>
      </c>
      <c r="J525" s="515"/>
      <c r="K525" s="515"/>
      <c r="L525" s="515"/>
      <c r="M525" s="515"/>
      <c r="N525" s="516" t="e">
        <f>LEFT(INDEX(#REF!,MATCH($H525,#REF!),MATCH(I525,#REF!)),30)</f>
        <v>#REF!</v>
      </c>
      <c r="O525" s="517">
        <v>8121</v>
      </c>
      <c r="P525" s="518">
        <f t="shared" ref="P525:P529" si="146">ROUND(O525*$G$2,0)</f>
        <v>8385</v>
      </c>
      <c r="Q525" s="195" t="s">
        <v>377</v>
      </c>
      <c r="S525" s="194" t="s">
        <v>211</v>
      </c>
      <c r="T525" s="194"/>
    </row>
    <row r="526" spans="1:20">
      <c r="A526" s="519" t="e">
        <f>#REF!</f>
        <v>#REF!</v>
      </c>
      <c r="B526" s="195" t="e">
        <f t="shared" si="130"/>
        <v>#REF!</v>
      </c>
      <c r="C526" s="194" t="s">
        <v>372</v>
      </c>
      <c r="D526" s="512" t="s">
        <v>375</v>
      </c>
      <c r="E526" s="194" t="s">
        <v>376</v>
      </c>
      <c r="F526" s="513">
        <v>1.05</v>
      </c>
      <c r="G526" s="513">
        <f t="shared" si="143"/>
        <v>1.0325</v>
      </c>
      <c r="H526" s="514">
        <v>2</v>
      </c>
      <c r="I526" s="514">
        <v>3</v>
      </c>
      <c r="J526" s="515"/>
      <c r="K526" s="515"/>
      <c r="L526" s="515"/>
      <c r="M526" s="515"/>
      <c r="N526" s="516" t="e">
        <f>LEFT(INDEX(#REF!,MATCH($H526,#REF!),MATCH(I526,#REF!)),30)</f>
        <v>#REF!</v>
      </c>
      <c r="O526" s="517">
        <v>181405</v>
      </c>
      <c r="P526" s="518">
        <f t="shared" si="146"/>
        <v>187301</v>
      </c>
      <c r="Q526" s="195" t="s">
        <v>377</v>
      </c>
      <c r="S526" s="194" t="s">
        <v>211</v>
      </c>
      <c r="T526" s="194"/>
    </row>
    <row r="527" spans="1:20">
      <c r="A527" s="519" t="e">
        <f>#REF!</f>
        <v>#REF!</v>
      </c>
      <c r="B527" s="195" t="e">
        <f t="shared" si="130"/>
        <v>#REF!</v>
      </c>
      <c r="C527" s="194" t="s">
        <v>372</v>
      </c>
      <c r="D527" s="512" t="s">
        <v>375</v>
      </c>
      <c r="E527" s="194" t="s">
        <v>376</v>
      </c>
      <c r="F527" s="513">
        <v>1.05</v>
      </c>
      <c r="G527" s="513">
        <f t="shared" si="143"/>
        <v>1.0325</v>
      </c>
      <c r="H527" s="514">
        <v>3</v>
      </c>
      <c r="I527" s="514">
        <v>3</v>
      </c>
      <c r="J527" s="515"/>
      <c r="K527" s="515"/>
      <c r="L527" s="515"/>
      <c r="M527" s="515"/>
      <c r="N527" s="516" t="e">
        <f>LEFT(INDEX(#REF!,MATCH($H527,#REF!),MATCH(I527,#REF!)),30)</f>
        <v>#REF!</v>
      </c>
      <c r="O527" s="517">
        <v>21211</v>
      </c>
      <c r="P527" s="518">
        <f t="shared" si="146"/>
        <v>21900</v>
      </c>
      <c r="Q527" s="195" t="s">
        <v>377</v>
      </c>
      <c r="S527" s="194" t="s">
        <v>211</v>
      </c>
      <c r="T527" s="194"/>
    </row>
    <row r="528" spans="1:20">
      <c r="A528" s="519" t="e">
        <f>#REF!</f>
        <v>#REF!</v>
      </c>
      <c r="B528" s="195" t="e">
        <f t="shared" si="130"/>
        <v>#REF!</v>
      </c>
      <c r="C528" s="194" t="s">
        <v>372</v>
      </c>
      <c r="D528" s="512" t="s">
        <v>375</v>
      </c>
      <c r="E528" s="194" t="s">
        <v>376</v>
      </c>
      <c r="F528" s="513">
        <v>1.05</v>
      </c>
      <c r="G528" s="513">
        <f t="shared" si="143"/>
        <v>1.0325</v>
      </c>
      <c r="H528" s="514">
        <v>4</v>
      </c>
      <c r="I528" s="514">
        <v>3</v>
      </c>
      <c r="J528" s="515"/>
      <c r="K528" s="515"/>
      <c r="L528" s="515"/>
      <c r="M528" s="515"/>
      <c r="N528" s="516" t="e">
        <f>LEFT(INDEX(#REF!,MATCH($H528,#REF!),MATCH(I528,#REF!)),30)</f>
        <v>#REF!</v>
      </c>
      <c r="O528" s="517">
        <v>153495</v>
      </c>
      <c r="P528" s="518">
        <f t="shared" si="146"/>
        <v>158484</v>
      </c>
      <c r="Q528" s="195" t="s">
        <v>377</v>
      </c>
      <c r="S528" s="194" t="s">
        <v>211</v>
      </c>
      <c r="T528" s="194"/>
    </row>
    <row r="529" spans="1:20">
      <c r="A529" s="519" t="e">
        <f>#REF!</f>
        <v>#REF!</v>
      </c>
      <c r="B529" s="195" t="e">
        <f t="shared" si="130"/>
        <v>#REF!</v>
      </c>
      <c r="C529" s="194" t="s">
        <v>372</v>
      </c>
      <c r="D529" s="512" t="s">
        <v>375</v>
      </c>
      <c r="E529" s="194" t="s">
        <v>376</v>
      </c>
      <c r="F529" s="513">
        <v>1.05</v>
      </c>
      <c r="G529" s="513">
        <f t="shared" si="143"/>
        <v>1.0325</v>
      </c>
      <c r="H529" s="514">
        <v>5</v>
      </c>
      <c r="I529" s="514">
        <v>3</v>
      </c>
      <c r="J529" s="515"/>
      <c r="K529" s="515"/>
      <c r="L529" s="515"/>
      <c r="M529" s="515"/>
      <c r="N529" s="516" t="e">
        <f>LEFT(INDEX(#REF!,MATCH($H529,#REF!),MATCH(I529,#REF!)),30)</f>
        <v>#REF!</v>
      </c>
      <c r="O529" s="517">
        <v>12481</v>
      </c>
      <c r="P529" s="518">
        <f t="shared" si="146"/>
        <v>12887</v>
      </c>
      <c r="Q529" s="195" t="s">
        <v>377</v>
      </c>
      <c r="S529" s="194" t="s">
        <v>211</v>
      </c>
      <c r="T529" s="194"/>
    </row>
    <row r="530" spans="1:20">
      <c r="A530" s="519" t="e">
        <f>#REF!</f>
        <v>#REF!</v>
      </c>
      <c r="B530" s="195" t="e">
        <f t="shared" si="130"/>
        <v>#REF!</v>
      </c>
      <c r="C530" s="194" t="s">
        <v>372</v>
      </c>
      <c r="D530" s="512" t="s">
        <v>375</v>
      </c>
      <c r="E530" s="194" t="s">
        <v>376</v>
      </c>
      <c r="F530" s="513">
        <v>1.05</v>
      </c>
      <c r="G530" s="513">
        <f t="shared" si="143"/>
        <v>1.0325</v>
      </c>
      <c r="H530" s="514">
        <v>6</v>
      </c>
      <c r="I530" s="514">
        <v>3</v>
      </c>
      <c r="J530" s="515"/>
      <c r="K530" s="515"/>
      <c r="L530" s="515"/>
      <c r="M530" s="515"/>
      <c r="N530" s="516" t="e">
        <f>LEFT(INDEX(#REF!,MATCH($H530,#REF!),MATCH(I530,#REF!)),30)</f>
        <v>#REF!</v>
      </c>
      <c r="O530" s="517">
        <v>2394</v>
      </c>
      <c r="P530" s="518">
        <f>O530</f>
        <v>2394</v>
      </c>
      <c r="Q530" s="195" t="s">
        <v>354</v>
      </c>
      <c r="S530" s="194" t="s">
        <v>211</v>
      </c>
      <c r="T530" s="194"/>
    </row>
    <row r="531" spans="1:20">
      <c r="A531" s="519" t="e">
        <f>#REF!</f>
        <v>#REF!</v>
      </c>
      <c r="B531" s="195" t="e">
        <f t="shared" si="130"/>
        <v>#REF!</v>
      </c>
      <c r="C531" s="194" t="s">
        <v>372</v>
      </c>
      <c r="D531" s="512" t="s">
        <v>375</v>
      </c>
      <c r="E531" s="194" t="s">
        <v>376</v>
      </c>
      <c r="F531" s="513">
        <v>1.05</v>
      </c>
      <c r="G531" s="513">
        <f t="shared" si="143"/>
        <v>1.0325</v>
      </c>
      <c r="H531" s="514">
        <v>7</v>
      </c>
      <c r="I531" s="514">
        <v>3</v>
      </c>
      <c r="J531" s="515"/>
      <c r="K531" s="515"/>
      <c r="L531" s="515"/>
      <c r="M531" s="515"/>
      <c r="N531" s="516" t="e">
        <f>LEFT(INDEX(#REF!,MATCH($H531,#REF!),MATCH(I531,#REF!)),30)</f>
        <v>#REF!</v>
      </c>
      <c r="O531" s="517">
        <v>7263.18</v>
      </c>
      <c r="P531" s="518">
        <f>O531</f>
        <v>7263.18</v>
      </c>
      <c r="Q531" s="195" t="s">
        <v>377</v>
      </c>
      <c r="S531" s="194" t="s">
        <v>211</v>
      </c>
      <c r="T531" s="194"/>
    </row>
    <row r="532" spans="1:20">
      <c r="A532" s="519" t="e">
        <f>#REF!</f>
        <v>#REF!</v>
      </c>
      <c r="B532" s="195" t="e">
        <f t="shared" si="130"/>
        <v>#REF!</v>
      </c>
      <c r="C532" s="194" t="s">
        <v>372</v>
      </c>
      <c r="D532" s="512" t="s">
        <v>375</v>
      </c>
      <c r="E532" s="194" t="s">
        <v>376</v>
      </c>
      <c r="F532" s="513">
        <v>1.05</v>
      </c>
      <c r="G532" s="513">
        <f t="shared" si="143"/>
        <v>1.0325</v>
      </c>
      <c r="H532" s="514">
        <v>8</v>
      </c>
      <c r="I532" s="514">
        <v>3</v>
      </c>
      <c r="J532" s="515"/>
      <c r="K532" s="515"/>
      <c r="L532" s="515"/>
      <c r="M532" s="515"/>
      <c r="N532" s="516" t="e">
        <f>LEFT(INDEX(#REF!,MATCH($H532,#REF!),MATCH(I532,#REF!)),30)</f>
        <v>#REF!</v>
      </c>
      <c r="O532" s="517">
        <v>950529</v>
      </c>
      <c r="P532" s="518">
        <f t="shared" ref="P532" si="147">ROUND(O532*$G$2,0)</f>
        <v>981421</v>
      </c>
      <c r="Q532" s="195" t="s">
        <v>353</v>
      </c>
      <c r="S532" s="194" t="s">
        <v>211</v>
      </c>
      <c r="T532" s="194"/>
    </row>
    <row r="533" spans="1:20">
      <c r="A533" s="519" t="e">
        <f>#REF!</f>
        <v>#REF!</v>
      </c>
      <c r="B533" s="195" t="e">
        <f t="shared" si="130"/>
        <v>#REF!</v>
      </c>
      <c r="C533" s="194" t="s">
        <v>372</v>
      </c>
      <c r="D533" s="512" t="s">
        <v>375</v>
      </c>
      <c r="E533" s="194" t="s">
        <v>376</v>
      </c>
      <c r="F533" s="513">
        <v>1.05</v>
      </c>
      <c r="G533" s="513">
        <f t="shared" si="143"/>
        <v>1.0325</v>
      </c>
      <c r="H533" s="514">
        <v>9</v>
      </c>
      <c r="I533" s="514">
        <v>3</v>
      </c>
      <c r="J533" s="515"/>
      <c r="K533" s="515"/>
      <c r="L533" s="515"/>
      <c r="M533" s="515"/>
      <c r="N533" s="516" t="e">
        <f>LEFT(INDEX(#REF!,MATCH($H533,#REF!),MATCH(I533,#REF!)),30)</f>
        <v>#REF!</v>
      </c>
      <c r="O533" s="517" t="s">
        <v>373</v>
      </c>
      <c r="P533" s="518" t="str">
        <f>O533</f>
        <v>CCR</v>
      </c>
      <c r="Q533" s="195" t="s">
        <v>354</v>
      </c>
      <c r="S533" s="194" t="s">
        <v>211</v>
      </c>
      <c r="T533" s="194"/>
    </row>
    <row r="534" spans="1:20">
      <c r="A534" s="1" t="e">
        <f ca="1">'2026_PCH_PED_CADAVER_LIVER'!$A$1</f>
        <v>#VALUE!</v>
      </c>
      <c r="B534" s="535">
        <v>1</v>
      </c>
      <c r="C534" s="1" t="s">
        <v>372</v>
      </c>
      <c r="D534" s="4" t="e" cm="1">
        <f t="array" aca="1" ref="D534" ca="1">RIGHT(INDIRECT(ADDRESS(6,2,,,$A534)),6)</f>
        <v>#VALUE!</v>
      </c>
      <c r="E534" s="1" t="e" cm="1">
        <f t="array" aca="1" ref="E534" ca="1">RIGHT(INDIRECT(ADDRESS(4,2,,,$A534)),5)</f>
        <v>#VALUE!</v>
      </c>
      <c r="F534" s="22">
        <v>1.0335000000000001</v>
      </c>
      <c r="G534" s="22">
        <f t="shared" si="143"/>
        <v>1.0325</v>
      </c>
      <c r="H534" s="7">
        <v>1</v>
      </c>
      <c r="I534" s="7">
        <v>3</v>
      </c>
      <c r="J534" s="26">
        <v>4</v>
      </c>
      <c r="K534" s="26"/>
      <c r="L534" s="26" t="s">
        <v>350</v>
      </c>
      <c r="M534" s="26" t="s">
        <v>351</v>
      </c>
      <c r="N534" s="9" t="str">
        <f>LEFT(INDEX('2026_PCH_PED_CADAVER_LIVER'!$A$1:$E$30,MATCH($H534,'2026_PCH_PED_CADAVER_LIVER'!$A$1:$A$30),MATCH(I534,'2026_PCH_PED_CADAVER_LIVER'!$A$1:$D$1)),30)</f>
        <v>OUTPATIENT EVALUATION* - Initi</v>
      </c>
      <c r="O534" s="16">
        <v>8424</v>
      </c>
      <c r="P534" s="507">
        <f t="shared" ref="P534:P538" si="148">ROUND(O534*$G$2,0)</f>
        <v>8698</v>
      </c>
    </row>
    <row r="535" spans="1:20">
      <c r="A535" s="1" t="e">
        <f ca="1">'2026_PCH_PED_CADAVER_LIVER'!$A$1</f>
        <v>#VALUE!</v>
      </c>
      <c r="B535" s="14" t="e">
        <f t="shared" ca="1" si="130"/>
        <v>#VALUE!</v>
      </c>
      <c r="C535" s="1" t="s">
        <v>372</v>
      </c>
      <c r="D535" s="4" t="e" cm="1">
        <f t="array" aca="1" ref="D535" ca="1">RIGHT(INDIRECT(ADDRESS(6,2,,,$A535)),6)</f>
        <v>#VALUE!</v>
      </c>
      <c r="E535" s="1" t="e" cm="1">
        <f t="array" aca="1" ref="E535" ca="1">RIGHT(INDIRECT(ADDRESS(4,2,,,$A535)),5)</f>
        <v>#VALUE!</v>
      </c>
      <c r="F535" s="22">
        <v>1.0335000000000001</v>
      </c>
      <c r="G535" s="22">
        <f t="shared" si="143"/>
        <v>1.0325</v>
      </c>
      <c r="H535" s="7">
        <v>2</v>
      </c>
      <c r="I535" s="7">
        <v>3</v>
      </c>
      <c r="J535" s="26">
        <v>4</v>
      </c>
      <c r="K535" s="26"/>
      <c r="L535" s="26" t="s">
        <v>350</v>
      </c>
      <c r="M535" s="26" t="s">
        <v>351</v>
      </c>
      <c r="N535" s="9" t="str">
        <f>LEFT(INDEX('2026_PCH_PED_CADAVER_LIVER'!$A$1:$E$30,MATCH($H535,'2026_PCH_PED_CADAVER_LIVER'!$A$1:$A$30),MATCH(I535,'2026_PCH_PED_CADAVER_LIVER'!$A$1:$D$1)),30)</f>
        <v>PREP AND TRANSPLANT</v>
      </c>
      <c r="O535" s="16">
        <v>188153</v>
      </c>
      <c r="P535" s="507">
        <f t="shared" si="148"/>
        <v>194268</v>
      </c>
    </row>
    <row r="536" spans="1:20">
      <c r="A536" s="1" t="e">
        <f ca="1">'2026_PCH_PED_CADAVER_LIVER'!$A$1</f>
        <v>#VALUE!</v>
      </c>
      <c r="B536" s="14" t="e">
        <f t="shared" ca="1" si="130"/>
        <v>#VALUE!</v>
      </c>
      <c r="C536" s="1" t="s">
        <v>372</v>
      </c>
      <c r="D536" s="4" t="e" cm="1">
        <f t="array" aca="1" ref="D536" ca="1">RIGHT(INDIRECT(ADDRESS(6,2,,,$A536)),6)</f>
        <v>#VALUE!</v>
      </c>
      <c r="E536" s="1" t="e" cm="1">
        <f t="array" aca="1" ref="E536" ca="1">RIGHT(INDIRECT(ADDRESS(4,2,,,$A536)),5)</f>
        <v>#VALUE!</v>
      </c>
      <c r="F536" s="22">
        <v>1.0335000000000001</v>
      </c>
      <c r="G536" s="22">
        <f t="shared" si="143"/>
        <v>1.0325</v>
      </c>
      <c r="H536" s="7">
        <v>3</v>
      </c>
      <c r="I536" s="7">
        <v>3</v>
      </c>
      <c r="J536" s="26">
        <v>4</v>
      </c>
      <c r="K536" s="26"/>
      <c r="L536" s="26" t="s">
        <v>350</v>
      </c>
      <c r="M536" s="26" t="s">
        <v>351</v>
      </c>
      <c r="N536" s="9" t="str">
        <f>LEFT(INDEX('2026_PCH_PED_CADAVER_LIVER'!$A$1:$E$30,MATCH($H536,'2026_PCH_PED_CADAVER_LIVER'!$A$1:$A$30),MATCH(I536,'2026_PCH_PED_CADAVER_LIVER'!$A$1:$D$1)),30)</f>
        <v>FOLLOW UP CARE - From day 1 po</v>
      </c>
      <c r="O536" s="16">
        <v>159206</v>
      </c>
      <c r="P536" s="507">
        <f t="shared" si="148"/>
        <v>164380</v>
      </c>
    </row>
    <row r="537" spans="1:20">
      <c r="A537" s="1" t="e">
        <f ca="1">'2026_PCH_PED_CADAVER_LIVER'!$A$1</f>
        <v>#VALUE!</v>
      </c>
      <c r="B537" s="14" t="e">
        <f t="shared" ca="1" si="130"/>
        <v>#VALUE!</v>
      </c>
      <c r="C537" s="1" t="s">
        <v>372</v>
      </c>
      <c r="D537" s="4" t="e" cm="1">
        <f t="array" aca="1" ref="D537" ca="1">RIGHT(INDIRECT(ADDRESS(6,2,,,$A537)),6)</f>
        <v>#VALUE!</v>
      </c>
      <c r="E537" s="1" t="e" cm="1">
        <f t="array" aca="1" ref="E537" ca="1">RIGHT(INDIRECT(ADDRESS(4,2,,,$A537)),5)</f>
        <v>#VALUE!</v>
      </c>
      <c r="F537" s="22">
        <v>1.0335000000000001</v>
      </c>
      <c r="G537" s="22">
        <f t="shared" si="143"/>
        <v>1.0325</v>
      </c>
      <c r="H537" s="7">
        <v>4</v>
      </c>
      <c r="I537" s="7">
        <v>3</v>
      </c>
      <c r="J537" s="26">
        <v>4</v>
      </c>
      <c r="K537" s="26"/>
      <c r="L537" s="26" t="s">
        <v>350</v>
      </c>
      <c r="M537" s="26" t="s">
        <v>351</v>
      </c>
      <c r="N537" s="9" t="str">
        <f>LEFT(INDEX('2026_PCH_PED_CADAVER_LIVER'!$A$1:$E$30,MATCH($H537,'2026_PCH_PED_CADAVER_LIVER'!$A$1:$A$30),MATCH(I537,'2026_PCH_PED_CADAVER_LIVER'!$A$1:$D$1)),30)</f>
        <v xml:space="preserve">FOLLOW UP CARE - From day 31  </v>
      </c>
      <c r="O537" s="16">
        <v>12946</v>
      </c>
      <c r="P537" s="507">
        <f t="shared" si="148"/>
        <v>13367</v>
      </c>
    </row>
    <row r="538" spans="1:20">
      <c r="A538" s="1" t="e">
        <f ca="1">'2026_PCH_PED_CADAVER_LIVER'!$A$1</f>
        <v>#VALUE!</v>
      </c>
      <c r="B538" s="14" t="e">
        <f t="shared" ca="1" si="130"/>
        <v>#VALUE!</v>
      </c>
      <c r="C538" s="1" t="s">
        <v>372</v>
      </c>
      <c r="D538" s="4" t="e" cm="1">
        <f t="array" aca="1" ref="D538" ca="1">RIGHT(INDIRECT(ADDRESS(6,2,,,$A538)),6)</f>
        <v>#VALUE!</v>
      </c>
      <c r="E538" s="1" t="e" cm="1">
        <f t="array" aca="1" ref="E538" ca="1">RIGHT(INDIRECT(ADDRESS(4,2,,,$A538)),5)</f>
        <v>#VALUE!</v>
      </c>
      <c r="F538" s="22">
        <v>1.0335000000000001</v>
      </c>
      <c r="G538" s="22">
        <f t="shared" si="143"/>
        <v>1.0325</v>
      </c>
      <c r="H538" s="7">
        <v>5</v>
      </c>
      <c r="I538" s="7">
        <v>3</v>
      </c>
      <c r="J538" s="26">
        <v>4</v>
      </c>
      <c r="K538" s="26"/>
      <c r="L538" s="26" t="s">
        <v>350</v>
      </c>
      <c r="M538" s="26" t="s">
        <v>351</v>
      </c>
      <c r="N538" s="9" t="str">
        <f>LEFT(INDEX('2026_PCH_PED_CADAVER_LIVER'!$A$1:$E$30,MATCH($H538,'2026_PCH_PED_CADAVER_LIVER'!$A$1:$A$30),MATCH(I538,'2026_PCH_PED_CADAVER_LIVER'!$A$1:$D$1)),30)</f>
        <v xml:space="preserve">PER DIEM RATES for day 61+ of </v>
      </c>
      <c r="O538" s="16">
        <v>2474</v>
      </c>
      <c r="P538" s="507">
        <f t="shared" si="148"/>
        <v>2554</v>
      </c>
    </row>
    <row r="539" spans="1:20">
      <c r="A539" s="1" t="e">
        <f ca="1">'2026_PCH_PED_CADAVER_LIVER'!$A$1</f>
        <v>#VALUE!</v>
      </c>
      <c r="B539" s="14" t="e">
        <f t="shared" ca="1" si="130"/>
        <v>#VALUE!</v>
      </c>
      <c r="C539" s="1" t="s">
        <v>372</v>
      </c>
      <c r="D539" s="4" t="e" cm="1">
        <f t="array" aca="1" ref="D539" ca="1">RIGHT(INDIRECT(ADDRESS(6,2,,,$A539)),6)</f>
        <v>#VALUE!</v>
      </c>
      <c r="E539" s="1" t="e" cm="1">
        <f t="array" aca="1" ref="E539" ca="1">RIGHT(INDIRECT(ADDRESS(4,2,,,$A539)),5)</f>
        <v>#VALUE!</v>
      </c>
      <c r="F539" s="22">
        <v>1.0335000000000001</v>
      </c>
      <c r="G539" s="22">
        <f t="shared" si="143"/>
        <v>1.0325</v>
      </c>
      <c r="H539" s="7">
        <v>6</v>
      </c>
      <c r="I539" s="7">
        <v>3</v>
      </c>
      <c r="J539" s="26">
        <v>4</v>
      </c>
      <c r="K539" s="26"/>
      <c r="L539" s="26" t="s">
        <v>350</v>
      </c>
      <c r="M539" s="26" t="s">
        <v>351</v>
      </c>
      <c r="N539" s="9" t="str">
        <f>LEFT(INDEX('2026_PCH_PED_CADAVER_LIVER'!$A$1:$E$30,MATCH($H539,'2026_PCH_PED_CADAVER_LIVER'!$A$1:$A$30),MATCH(I539,'2026_PCH_PED_CADAVER_LIVER'!$A$1:$D$1)),30)</f>
        <v>Days 11+/61+ paid at the per d</v>
      </c>
      <c r="O539" s="16">
        <v>7263.18</v>
      </c>
      <c r="P539" s="509">
        <f>O539*$Q$2</f>
        <v>8014.1928120000002</v>
      </c>
      <c r="Q539" s="14" t="s">
        <v>352</v>
      </c>
    </row>
    <row r="540" spans="1:20">
      <c r="A540" s="1" t="e">
        <f ca="1">'2026_PCH_PED_CADAVER_LIVER'!$A$1</f>
        <v>#VALUE!</v>
      </c>
      <c r="B540" s="14" t="e">
        <f t="shared" ca="1" si="130"/>
        <v>#VALUE!</v>
      </c>
      <c r="C540" s="1" t="s">
        <v>372</v>
      </c>
      <c r="D540" s="4" t="e" cm="1">
        <f t="array" aca="1" ref="D540" ca="1">RIGHT(INDIRECT(ADDRESS(6,2,,,$A540)),6)</f>
        <v>#VALUE!</v>
      </c>
      <c r="E540" s="1" t="e" cm="1">
        <f t="array" aca="1" ref="E540" ca="1">RIGHT(INDIRECT(ADDRESS(4,2,,,$A540)),5)</f>
        <v>#VALUE!</v>
      </c>
      <c r="F540" s="22">
        <v>1.0335000000000001</v>
      </c>
      <c r="G540" s="22">
        <f t="shared" si="143"/>
        <v>1.0325</v>
      </c>
      <c r="H540" s="7">
        <v>7</v>
      </c>
      <c r="I540" s="7">
        <v>3</v>
      </c>
      <c r="J540" s="26">
        <v>4</v>
      </c>
      <c r="K540" s="26"/>
      <c r="L540" s="26" t="s">
        <v>350</v>
      </c>
      <c r="M540" s="26" t="s">
        <v>351</v>
      </c>
      <c r="N540" s="9" t="str">
        <f>LEFT(INDEX('2026_PCH_PED_CADAVER_LIVER'!$A$1:$E$30,MATCH($H540,'2026_PCH_PED_CADAVER_LIVER'!$A$1:$A$30),MATCH(I540,'2026_PCH_PED_CADAVER_LIVER'!$A$1:$D$1)),30)</f>
        <v xml:space="preserve">Outlier:  Liver cases will be </v>
      </c>
      <c r="O540" s="16">
        <v>985888</v>
      </c>
      <c r="P540" s="507">
        <f t="shared" ref="P540" si="149">ROUND(O540*$G$2,0)</f>
        <v>1017929</v>
      </c>
      <c r="Q540" s="14" t="s">
        <v>353</v>
      </c>
    </row>
    <row r="541" spans="1:20">
      <c r="A541" s="1" t="e">
        <f ca="1">'2026_PCH_PED_CADAVER_LIVER'!$A$1</f>
        <v>#VALUE!</v>
      </c>
      <c r="B541" s="14" t="e">
        <f t="shared" ca="1" si="130"/>
        <v>#VALUE!</v>
      </c>
      <c r="C541" s="1" t="s">
        <v>372</v>
      </c>
      <c r="D541" s="4" t="e" cm="1">
        <f t="array" aca="1" ref="D541" ca="1">RIGHT(INDIRECT(ADDRESS(6,2,,,$A541)),6)</f>
        <v>#VALUE!</v>
      </c>
      <c r="E541" s="1" t="e" cm="1">
        <f t="array" aca="1" ref="E541" ca="1">RIGHT(INDIRECT(ADDRESS(4,2,,,$A541)),5)</f>
        <v>#VALUE!</v>
      </c>
      <c r="F541" s="22">
        <v>1.0335000000000001</v>
      </c>
      <c r="G541" s="22">
        <f t="shared" si="143"/>
        <v>1.0325</v>
      </c>
      <c r="H541" s="7">
        <v>8</v>
      </c>
      <c r="I541" s="7">
        <v>3</v>
      </c>
      <c r="J541" s="26">
        <v>4</v>
      </c>
      <c r="K541" s="26"/>
      <c r="L541" s="26" t="s">
        <v>350</v>
      </c>
      <c r="M541" s="26" t="s">
        <v>351</v>
      </c>
      <c r="N541" s="9" t="str">
        <f>LEFT(INDEX('2026_PCH_PED_CADAVER_LIVER'!$A$1:$E$30,MATCH($H541,'2026_PCH_PED_CADAVER_LIVER'!$A$1:$A$30),MATCH(I541,'2026_PCH_PED_CADAVER_LIVER'!$A$1:$D$1)),30)</f>
        <v>Rate Above Threshold</v>
      </c>
      <c r="O541" s="16" t="s">
        <v>373</v>
      </c>
      <c r="P541" s="507" t="str">
        <f>O541</f>
        <v>CCR</v>
      </c>
      <c r="Q541" s="14" t="s">
        <v>354</v>
      </c>
    </row>
    <row r="542" spans="1:20">
      <c r="A542" s="1" t="e">
        <f ca="1">'2026_SCH_SHEA_BMT_AUTO'!$A$1</f>
        <v>#VALUE!</v>
      </c>
      <c r="B542" s="14" t="e">
        <f t="shared" ca="1" si="130"/>
        <v>#VALUE!</v>
      </c>
      <c r="C542" s="1" t="s">
        <v>378</v>
      </c>
      <c r="D542" s="4" t="e" cm="1">
        <f t="array" aca="1" ref="D542" ca="1">RIGHT(INDIRECT(ADDRESS(6,2,,,$A542)),6)</f>
        <v>#VALUE!</v>
      </c>
      <c r="E542" s="1" t="e" cm="1">
        <f t="array" aca="1" ref="E542" ca="1">RIGHT(INDIRECT(ADDRESS(4,2,,,$A542)),5)</f>
        <v>#VALUE!</v>
      </c>
      <c r="F542" s="22">
        <v>1.0335000000000001</v>
      </c>
      <c r="G542" s="22">
        <f t="shared" si="143"/>
        <v>1.0325</v>
      </c>
      <c r="H542" s="7">
        <v>1</v>
      </c>
      <c r="I542" s="7">
        <v>3</v>
      </c>
      <c r="J542" s="26">
        <v>4</v>
      </c>
      <c r="K542" s="26"/>
      <c r="L542" s="26" t="s">
        <v>350</v>
      </c>
      <c r="M542" s="26" t="s">
        <v>351</v>
      </c>
      <c r="N542" s="9" t="str">
        <f>LEFT(INDEX('2026_SCH_SHEA_BMT_AUTO'!$A$1:$E$30,MATCH($H542,'2026_SCH_SHEA_BMT_AUTO'!$A$1:$A$30),MATCH(I542,'2026_SCH_SHEA_BMT_AUTO'!$A$1:$D$1)),30)</f>
        <v>OUTPATIENT EVALUATION* - Initi</v>
      </c>
      <c r="O542" s="16">
        <v>6304</v>
      </c>
      <c r="P542" s="507">
        <f t="shared" ref="P542:P547" si="150">ROUND(O542*$G$2,0)</f>
        <v>6509</v>
      </c>
    </row>
    <row r="543" spans="1:20">
      <c r="A543" s="1" t="e">
        <f ca="1">'2026_SCH_SHEA_BMT_AUTO'!$A$1</f>
        <v>#VALUE!</v>
      </c>
      <c r="B543" s="14" t="e">
        <f t="shared" ca="1" si="130"/>
        <v>#VALUE!</v>
      </c>
      <c r="C543" s="1" t="s">
        <v>378</v>
      </c>
      <c r="D543" s="4" t="e" cm="1">
        <f t="array" aca="1" ref="D543" ca="1">RIGHT(INDIRECT(ADDRESS(6,2,,,$A543)),6)</f>
        <v>#VALUE!</v>
      </c>
      <c r="E543" s="1" t="e" cm="1">
        <f t="array" aca="1" ref="E543" ca="1">RIGHT(INDIRECT(ADDRESS(4,2,,,$A543)),5)</f>
        <v>#VALUE!</v>
      </c>
      <c r="F543" s="22">
        <v>1.0335000000000001</v>
      </c>
      <c r="G543" s="22">
        <f t="shared" si="143"/>
        <v>1.0325</v>
      </c>
      <c r="H543" s="7">
        <v>2</v>
      </c>
      <c r="I543" s="7">
        <v>3</v>
      </c>
      <c r="J543" s="26">
        <v>4</v>
      </c>
      <c r="K543" s="26"/>
      <c r="L543" s="26" t="s">
        <v>350</v>
      </c>
      <c r="M543" s="26" t="s">
        <v>351</v>
      </c>
      <c r="N543" s="9" t="str">
        <f>LEFT(INDEX('2026_SCH_SHEA_BMT_AUTO'!$A$1:$E$30,MATCH($H543,'2026_SCH_SHEA_BMT_AUTO'!$A$1:$A$30),MATCH(I543,'2026_SCH_SHEA_BMT_AUTO'!$A$1:$D$1)),30)</f>
        <v>AUTOLOGOUS HARVEST</v>
      </c>
      <c r="O543" s="16">
        <v>15603</v>
      </c>
      <c r="P543" s="507">
        <f t="shared" si="150"/>
        <v>16110</v>
      </c>
    </row>
    <row r="544" spans="1:20">
      <c r="A544" s="1" t="e">
        <f ca="1">'2026_SCH_SHEA_BMT_AUTO'!$A$1</f>
        <v>#VALUE!</v>
      </c>
      <c r="B544" s="14" t="e">
        <f t="shared" ca="1" si="130"/>
        <v>#VALUE!</v>
      </c>
      <c r="C544" s="1" t="s">
        <v>378</v>
      </c>
      <c r="D544" s="4" t="e" cm="1">
        <f t="array" aca="1" ref="D544" ca="1">RIGHT(INDIRECT(ADDRESS(6,2,,,$A544)),6)</f>
        <v>#VALUE!</v>
      </c>
      <c r="E544" s="1" t="e" cm="1">
        <f t="array" aca="1" ref="E544" ca="1">RIGHT(INDIRECT(ADDRESS(4,2,,,$A544)),5)</f>
        <v>#VALUE!</v>
      </c>
      <c r="F544" s="22">
        <v>1.0335000000000001</v>
      </c>
      <c r="G544" s="22">
        <f t="shared" si="143"/>
        <v>1.0325</v>
      </c>
      <c r="H544" s="7">
        <v>3</v>
      </c>
      <c r="I544" s="7">
        <v>3</v>
      </c>
      <c r="J544" s="26">
        <v>4</v>
      </c>
      <c r="K544" s="26"/>
      <c r="L544" s="26" t="s">
        <v>350</v>
      </c>
      <c r="M544" s="26" t="s">
        <v>351</v>
      </c>
      <c r="N544" s="9" t="str">
        <f>LEFT(INDEX('2026_SCH_SHEA_BMT_AUTO'!$A$1:$E$30,MATCH($H544,'2026_SCH_SHEA_BMT_AUTO'!$A$1:$A$30),MATCH(I544,'2026_SCH_SHEA_BMT_AUTO'!$A$1:$D$1)),30)</f>
        <v>PREP AND TRANSPLANT</v>
      </c>
      <c r="O544" s="16">
        <v>117013</v>
      </c>
      <c r="P544" s="507">
        <f t="shared" si="150"/>
        <v>120816</v>
      </c>
    </row>
    <row r="545" spans="1:17">
      <c r="A545" s="1" t="e">
        <f ca="1">'2026_SCH_SHEA_BMT_AUTO'!$A$1</f>
        <v>#VALUE!</v>
      </c>
      <c r="B545" s="14" t="e">
        <f t="shared" ref="B545:B608" ca="1" si="151">IF(A545=A544,0,1)</f>
        <v>#VALUE!</v>
      </c>
      <c r="C545" s="1" t="s">
        <v>378</v>
      </c>
      <c r="D545" s="4" t="e" cm="1">
        <f t="array" aca="1" ref="D545" ca="1">RIGHT(INDIRECT(ADDRESS(6,2,,,$A545)),6)</f>
        <v>#VALUE!</v>
      </c>
      <c r="E545" s="1" t="e" cm="1">
        <f t="array" aca="1" ref="E545" ca="1">RIGHT(INDIRECT(ADDRESS(4,2,,,$A545)),5)</f>
        <v>#VALUE!</v>
      </c>
      <c r="F545" s="22">
        <v>1.0335000000000001</v>
      </c>
      <c r="G545" s="22">
        <f t="shared" si="143"/>
        <v>1.0325</v>
      </c>
      <c r="H545" s="7">
        <v>4</v>
      </c>
      <c r="I545" s="7">
        <v>3</v>
      </c>
      <c r="J545" s="26">
        <v>4</v>
      </c>
      <c r="K545" s="26"/>
      <c r="L545" s="26" t="s">
        <v>350</v>
      </c>
      <c r="M545" s="26" t="s">
        <v>351</v>
      </c>
      <c r="N545" s="9" t="str">
        <f>LEFT(INDEX('2026_SCH_SHEA_BMT_AUTO'!$A$1:$E$30,MATCH($H545,'2026_SCH_SHEA_BMT_AUTO'!$A$1:$A$30),MATCH(I545,'2026_SCH_SHEA_BMT_AUTO'!$A$1:$D$1)),30)</f>
        <v>FOLLOW UP CARE - From day 1 po</v>
      </c>
      <c r="O545" s="16">
        <v>29644</v>
      </c>
      <c r="P545" s="507">
        <f t="shared" si="150"/>
        <v>30607</v>
      </c>
    </row>
    <row r="546" spans="1:17">
      <c r="A546" s="1" t="e">
        <f ca="1">'2026_SCH_SHEA_BMT_AUTO'!$A$1</f>
        <v>#VALUE!</v>
      </c>
      <c r="B546" s="14" t="e">
        <f t="shared" ca="1" si="151"/>
        <v>#VALUE!</v>
      </c>
      <c r="C546" s="1" t="s">
        <v>378</v>
      </c>
      <c r="D546" s="4" t="e" cm="1">
        <f t="array" aca="1" ref="D546" ca="1">RIGHT(INDIRECT(ADDRESS(6,2,,,$A546)),6)</f>
        <v>#VALUE!</v>
      </c>
      <c r="E546" s="1" t="e" cm="1">
        <f t="array" aca="1" ref="E546" ca="1">RIGHT(INDIRECT(ADDRESS(4,2,,,$A546)),5)</f>
        <v>#VALUE!</v>
      </c>
      <c r="F546" s="22">
        <v>1.0335000000000001</v>
      </c>
      <c r="G546" s="22">
        <f t="shared" si="143"/>
        <v>1.0325</v>
      </c>
      <c r="H546" s="7">
        <v>5</v>
      </c>
      <c r="I546" s="7">
        <v>3</v>
      </c>
      <c r="J546" s="26">
        <v>4</v>
      </c>
      <c r="K546" s="26"/>
      <c r="L546" s="26" t="s">
        <v>350</v>
      </c>
      <c r="M546" s="26" t="s">
        <v>351</v>
      </c>
      <c r="N546" s="9" t="str">
        <f>LEFT(INDEX('2026_SCH_SHEA_BMT_AUTO'!$A$1:$E$30,MATCH($H546,'2026_SCH_SHEA_BMT_AUTO'!$A$1:$A$30),MATCH(I546,'2026_SCH_SHEA_BMT_AUTO'!$A$1:$D$1)),30)</f>
        <v xml:space="preserve">FOLLOW UP CARE - From day 31  </v>
      </c>
      <c r="O546" s="16">
        <v>10922</v>
      </c>
      <c r="P546" s="507">
        <f t="shared" si="150"/>
        <v>11277</v>
      </c>
    </row>
    <row r="547" spans="1:17">
      <c r="A547" s="1" t="e">
        <f ca="1">'2026_SCH_SHEA_BMT_AUTO'!$A$1</f>
        <v>#VALUE!</v>
      </c>
      <c r="B547" s="14" t="e">
        <f t="shared" ca="1" si="151"/>
        <v>#VALUE!</v>
      </c>
      <c r="C547" s="1" t="s">
        <v>378</v>
      </c>
      <c r="D547" s="4" t="e" cm="1">
        <f t="array" aca="1" ref="D547" ca="1">RIGHT(INDIRECT(ADDRESS(6,2,,,$A547)),6)</f>
        <v>#VALUE!</v>
      </c>
      <c r="E547" s="1" t="e" cm="1">
        <f t="array" aca="1" ref="E547" ca="1">RIGHT(INDIRECT(ADDRESS(4,2,,,$A547)),5)</f>
        <v>#VALUE!</v>
      </c>
      <c r="F547" s="22">
        <v>1.0335000000000001</v>
      </c>
      <c r="G547" s="22">
        <f t="shared" si="143"/>
        <v>1.0325</v>
      </c>
      <c r="H547" s="7">
        <v>6</v>
      </c>
      <c r="I547" s="7">
        <v>3</v>
      </c>
      <c r="J547" s="26">
        <v>4</v>
      </c>
      <c r="K547" s="26"/>
      <c r="L547" s="26" t="s">
        <v>350</v>
      </c>
      <c r="M547" s="26" t="s">
        <v>351</v>
      </c>
      <c r="N547" s="9" t="str">
        <f>LEFT(INDEX('2026_SCH_SHEA_BMT_AUTO'!$A$1:$E$30,MATCH($H547,'2026_SCH_SHEA_BMT_AUTO'!$A$1:$A$30),MATCH(I547,'2026_SCH_SHEA_BMT_AUTO'!$A$1:$D$1)),30)</f>
        <v xml:space="preserve">PER DIEM RATES for day 61+ of </v>
      </c>
      <c r="O547" s="16">
        <v>2474</v>
      </c>
      <c r="P547" s="507">
        <f t="shared" si="150"/>
        <v>2554</v>
      </c>
    </row>
    <row r="548" spans="1:17">
      <c r="A548" s="1" t="e">
        <f ca="1">'2026_SCH_SHEA_BMT_AUTO'!$A$1</f>
        <v>#VALUE!</v>
      </c>
      <c r="B548" s="14" t="e">
        <f t="shared" ca="1" si="151"/>
        <v>#VALUE!</v>
      </c>
      <c r="C548" s="1" t="s">
        <v>378</v>
      </c>
      <c r="D548" s="4" t="e" cm="1">
        <f t="array" aca="1" ref="D548" ca="1">RIGHT(INDIRECT(ADDRESS(6,2,,,$A548)),6)</f>
        <v>#VALUE!</v>
      </c>
      <c r="E548" s="1" t="e" cm="1">
        <f t="array" aca="1" ref="E548" ca="1">RIGHT(INDIRECT(ADDRESS(4,2,,,$A548)),5)</f>
        <v>#VALUE!</v>
      </c>
      <c r="F548" s="22">
        <v>1.0335000000000001</v>
      </c>
      <c r="G548" s="22">
        <f t="shared" si="143"/>
        <v>1.0325</v>
      </c>
      <c r="H548" s="7">
        <v>7</v>
      </c>
      <c r="I548" s="7">
        <v>3</v>
      </c>
      <c r="J548" s="26">
        <v>4</v>
      </c>
      <c r="K548" s="26"/>
      <c r="L548" s="26" t="s">
        <v>350</v>
      </c>
      <c r="M548" s="26" t="s">
        <v>351</v>
      </c>
      <c r="N548" s="9" t="str">
        <f>LEFT(INDEX('2026_SCH_SHEA_BMT_AUTO'!$A$1:$E$30,MATCH($H548,'2026_SCH_SHEA_BMT_AUTO'!$A$1:$A$30),MATCH(I548,'2026_SCH_SHEA_BMT_AUTO'!$A$1:$D$1)),30)</f>
        <v>Days 11+/61+ paid at the per d</v>
      </c>
      <c r="O548" s="16">
        <v>7263.18</v>
      </c>
      <c r="P548" s="509">
        <f>O548*$Q$2</f>
        <v>8014.1928120000002</v>
      </c>
      <c r="Q548" s="14" t="s">
        <v>352</v>
      </c>
    </row>
    <row r="549" spans="1:17">
      <c r="A549" s="1" t="e">
        <f ca="1">'2026_SCH_SHEA_BMT_ALLO_REL'!$A$1</f>
        <v>#VALUE!</v>
      </c>
      <c r="B549" s="14" t="e">
        <f t="shared" ca="1" si="151"/>
        <v>#VALUE!</v>
      </c>
      <c r="C549" s="1" t="s">
        <v>378</v>
      </c>
      <c r="D549" s="4" t="e" cm="1">
        <f t="array" aca="1" ref="D549" ca="1">RIGHT(INDIRECT(ADDRESS(6,2,,,$A549)),6)</f>
        <v>#VALUE!</v>
      </c>
      <c r="E549" s="1" t="e" cm="1">
        <f t="array" aca="1" ref="E549" ca="1">RIGHT(INDIRECT(ADDRESS(4,2,,,$A549)),5)</f>
        <v>#VALUE!</v>
      </c>
      <c r="F549" s="22">
        <v>1.0335000000000001</v>
      </c>
      <c r="G549" s="22">
        <f t="shared" si="143"/>
        <v>1.0325</v>
      </c>
      <c r="H549" s="7">
        <v>1</v>
      </c>
      <c r="I549" s="7">
        <v>3</v>
      </c>
      <c r="J549" s="26">
        <v>4</v>
      </c>
      <c r="K549" s="26"/>
      <c r="L549" s="26" t="s">
        <v>350</v>
      </c>
      <c r="M549" s="26" t="s">
        <v>351</v>
      </c>
      <c r="N549" s="9" t="str">
        <f>LEFT(INDEX('2026_SCH_SHEA_BMT_ALLO_REL'!$A$1:$E$30,MATCH($H549,'2026_SCH_SHEA_BMT_ALLO_REL'!$A$1:$A$30),MATCH(I549,'2026_SCH_SHEA_BMT_ALLO_REL'!$A$1:$D$1)),30)</f>
        <v>OUTPATIENT EVALUATION* - Initi</v>
      </c>
      <c r="O549" s="16">
        <v>6348</v>
      </c>
      <c r="P549" s="507">
        <f t="shared" ref="P549:P555" si="152">ROUND(O549*$G$2,0)</f>
        <v>6554</v>
      </c>
    </row>
    <row r="550" spans="1:17">
      <c r="A550" s="1" t="e">
        <f ca="1">'2026_SCH_SHEA_BMT_ALLO_REL'!$A$1</f>
        <v>#VALUE!</v>
      </c>
      <c r="B550" s="14" t="e">
        <f t="shared" ca="1" si="151"/>
        <v>#VALUE!</v>
      </c>
      <c r="C550" s="1" t="s">
        <v>378</v>
      </c>
      <c r="D550" s="4" t="e" cm="1">
        <f t="array" aca="1" ref="D550" ca="1">RIGHT(INDIRECT(ADDRESS(6,2,,,$A550)),6)</f>
        <v>#VALUE!</v>
      </c>
      <c r="E550" s="1" t="e" cm="1">
        <f t="array" aca="1" ref="E550" ca="1">RIGHT(INDIRECT(ADDRESS(4,2,,,$A550)),5)</f>
        <v>#VALUE!</v>
      </c>
      <c r="F550" s="22">
        <v>1.0335000000000001</v>
      </c>
      <c r="G550" s="22">
        <f t="shared" si="143"/>
        <v>1.0325</v>
      </c>
      <c r="H550" s="7">
        <v>2</v>
      </c>
      <c r="I550" s="7">
        <v>3</v>
      </c>
      <c r="J550" s="26">
        <v>4</v>
      </c>
      <c r="K550" s="26"/>
      <c r="L550" s="26" t="s">
        <v>350</v>
      </c>
      <c r="M550" s="26" t="s">
        <v>351</v>
      </c>
      <c r="N550" s="9" t="str">
        <f>LEFT(INDEX('2026_SCH_SHEA_BMT_ALLO_REL'!$A$1:$E$30,MATCH($H550,'2026_SCH_SHEA_BMT_ALLO_REL'!$A$1:$A$30),MATCH(I550,'2026_SCH_SHEA_BMT_ALLO_REL'!$A$1:$D$1)),30)</f>
        <v xml:space="preserve">RELATED DONOR SEARCH* </v>
      </c>
      <c r="O550" s="16">
        <v>7287</v>
      </c>
      <c r="P550" s="507">
        <f t="shared" si="152"/>
        <v>7524</v>
      </c>
    </row>
    <row r="551" spans="1:17">
      <c r="A551" s="1" t="e">
        <f ca="1">'2026_SCH_SHEA_BMT_ALLO_REL'!$A$1</f>
        <v>#VALUE!</v>
      </c>
      <c r="B551" s="14" t="e">
        <f t="shared" ca="1" si="151"/>
        <v>#VALUE!</v>
      </c>
      <c r="C551" s="1" t="s">
        <v>378</v>
      </c>
      <c r="D551" s="4" t="e" cm="1">
        <f t="array" aca="1" ref="D551" ca="1">RIGHT(INDIRECT(ADDRESS(6,2,,,$A551)),6)</f>
        <v>#VALUE!</v>
      </c>
      <c r="E551" s="1" t="e" cm="1">
        <f t="array" aca="1" ref="E551" ca="1">RIGHT(INDIRECT(ADDRESS(4,2,,,$A551)),5)</f>
        <v>#VALUE!</v>
      </c>
      <c r="F551" s="22">
        <v>1.0335000000000001</v>
      </c>
      <c r="G551" s="22">
        <f t="shared" si="143"/>
        <v>1.0325</v>
      </c>
      <c r="H551" s="7">
        <v>3</v>
      </c>
      <c r="I551" s="7">
        <v>3</v>
      </c>
      <c r="J551" s="26">
        <v>4</v>
      </c>
      <c r="K551" s="26"/>
      <c r="L551" s="26" t="s">
        <v>350</v>
      </c>
      <c r="M551" s="26" t="s">
        <v>351</v>
      </c>
      <c r="N551" s="9" t="str">
        <f>LEFT(INDEX('2026_SCH_SHEA_BMT_ALLO_REL'!$A$1:$E$30,MATCH($H551,'2026_SCH_SHEA_BMT_ALLO_REL'!$A$1:$A$30),MATCH(I551,'2026_SCH_SHEA_BMT_ALLO_REL'!$A$1:$D$1)),30)</f>
        <v>DONOR RELATED HARVEST</v>
      </c>
      <c r="O551" s="16">
        <v>21029</v>
      </c>
      <c r="P551" s="507">
        <f t="shared" si="152"/>
        <v>21712</v>
      </c>
    </row>
    <row r="552" spans="1:17">
      <c r="A552" s="1" t="e">
        <f ca="1">'2026_SCH_SHEA_BMT_ALLO_REL'!$A$1</f>
        <v>#VALUE!</v>
      </c>
      <c r="B552" s="14" t="e">
        <f t="shared" ca="1" si="151"/>
        <v>#VALUE!</v>
      </c>
      <c r="C552" s="1" t="s">
        <v>378</v>
      </c>
      <c r="D552" s="4" t="e" cm="1">
        <f t="array" aca="1" ref="D552" ca="1">RIGHT(INDIRECT(ADDRESS(6,2,,,$A552)),6)</f>
        <v>#VALUE!</v>
      </c>
      <c r="E552" s="1" t="e" cm="1">
        <f t="array" aca="1" ref="E552" ca="1">RIGHT(INDIRECT(ADDRESS(4,2,,,$A552)),5)</f>
        <v>#VALUE!</v>
      </c>
      <c r="F552" s="22">
        <v>1.0335000000000001</v>
      </c>
      <c r="G552" s="22">
        <f t="shared" si="143"/>
        <v>1.0325</v>
      </c>
      <c r="H552" s="7">
        <v>4</v>
      </c>
      <c r="I552" s="7">
        <v>3</v>
      </c>
      <c r="J552" s="26">
        <v>4</v>
      </c>
      <c r="K552" s="26"/>
      <c r="L552" s="26" t="s">
        <v>350</v>
      </c>
      <c r="M552" s="26" t="s">
        <v>351</v>
      </c>
      <c r="N552" s="9" t="str">
        <f>LEFT(INDEX('2026_SCH_SHEA_BMT_ALLO_REL'!$A$1:$E$30,MATCH($H552,'2026_SCH_SHEA_BMT_ALLO_REL'!$A$1:$A$30),MATCH(I552,'2026_SCH_SHEA_BMT_ALLO_REL'!$A$1:$D$1)),30)</f>
        <v>PREP AND TRANSPLANT</v>
      </c>
      <c r="O552" s="16">
        <v>110881</v>
      </c>
      <c r="P552" s="507">
        <f t="shared" si="152"/>
        <v>114485</v>
      </c>
    </row>
    <row r="553" spans="1:17">
      <c r="A553" s="1" t="e">
        <f ca="1">'2026_SCH_SHEA_BMT_ALLO_REL'!$A$1</f>
        <v>#VALUE!</v>
      </c>
      <c r="B553" s="14" t="e">
        <f t="shared" ca="1" si="151"/>
        <v>#VALUE!</v>
      </c>
      <c r="C553" s="1" t="s">
        <v>378</v>
      </c>
      <c r="D553" s="4" t="e" cm="1">
        <f t="array" aca="1" ref="D553" ca="1">RIGHT(INDIRECT(ADDRESS(6,2,,,$A553)),6)</f>
        <v>#VALUE!</v>
      </c>
      <c r="E553" s="1" t="e" cm="1">
        <f t="array" aca="1" ref="E553" ca="1">RIGHT(INDIRECT(ADDRESS(4,2,,,$A553)),5)</f>
        <v>#VALUE!</v>
      </c>
      <c r="F553" s="22">
        <v>1.0335000000000001</v>
      </c>
      <c r="G553" s="22">
        <f t="shared" si="143"/>
        <v>1.0325</v>
      </c>
      <c r="H553" s="7">
        <v>5</v>
      </c>
      <c r="I553" s="7">
        <v>3</v>
      </c>
      <c r="J553" s="26">
        <v>4</v>
      </c>
      <c r="K553" s="26"/>
      <c r="L553" s="26" t="s">
        <v>350</v>
      </c>
      <c r="M553" s="26" t="s">
        <v>351</v>
      </c>
      <c r="N553" s="9" t="str">
        <f>LEFT(INDEX('2026_SCH_SHEA_BMT_ALLO_REL'!$A$1:$E$30,MATCH($H553,'2026_SCH_SHEA_BMT_ALLO_REL'!$A$1:$A$30),MATCH(I553,'2026_SCH_SHEA_BMT_ALLO_REL'!$A$1:$D$1)),30)</f>
        <v>FOLLOW UP CARE - From day 1 po</v>
      </c>
      <c r="O553" s="16">
        <v>39600</v>
      </c>
      <c r="P553" s="507">
        <f t="shared" si="152"/>
        <v>40887</v>
      </c>
    </row>
    <row r="554" spans="1:17">
      <c r="A554" s="1" t="e">
        <f ca="1">'2026_SCH_SHEA_BMT_ALLO_REL'!$A$1</f>
        <v>#VALUE!</v>
      </c>
      <c r="B554" s="14" t="e">
        <f t="shared" ca="1" si="151"/>
        <v>#VALUE!</v>
      </c>
      <c r="C554" s="1" t="s">
        <v>378</v>
      </c>
      <c r="D554" s="4" t="e" cm="1">
        <f t="array" aca="1" ref="D554" ca="1">RIGHT(INDIRECT(ADDRESS(6,2,,,$A554)),6)</f>
        <v>#VALUE!</v>
      </c>
      <c r="E554" s="1" t="e" cm="1">
        <f t="array" aca="1" ref="E554" ca="1">RIGHT(INDIRECT(ADDRESS(4,2,,,$A554)),5)</f>
        <v>#VALUE!</v>
      </c>
      <c r="F554" s="22">
        <v>1.0335000000000001</v>
      </c>
      <c r="G554" s="22">
        <f t="shared" si="143"/>
        <v>1.0325</v>
      </c>
      <c r="H554" s="7">
        <v>6</v>
      </c>
      <c r="I554" s="7">
        <v>3</v>
      </c>
      <c r="J554" s="26">
        <v>4</v>
      </c>
      <c r="K554" s="26"/>
      <c r="L554" s="26" t="s">
        <v>350</v>
      </c>
      <c r="M554" s="26" t="s">
        <v>351</v>
      </c>
      <c r="N554" s="9" t="str">
        <f>LEFT(INDEX('2026_SCH_SHEA_BMT_ALLO_REL'!$A$1:$E$30,MATCH($H554,'2026_SCH_SHEA_BMT_ALLO_REL'!$A$1:$A$30),MATCH(I554,'2026_SCH_SHEA_BMT_ALLO_REL'!$A$1:$D$1)),30)</f>
        <v xml:space="preserve">FOLLOW UP CARE - From day 31  </v>
      </c>
      <c r="O554" s="16">
        <v>15841</v>
      </c>
      <c r="P554" s="507">
        <f t="shared" si="152"/>
        <v>16356</v>
      </c>
    </row>
    <row r="555" spans="1:17">
      <c r="A555" s="1" t="e">
        <f ca="1">'2026_SCH_SHEA_BMT_ALLO_REL'!$A$1</f>
        <v>#VALUE!</v>
      </c>
      <c r="B555" s="14" t="e">
        <f t="shared" ca="1" si="151"/>
        <v>#VALUE!</v>
      </c>
      <c r="C555" s="1" t="s">
        <v>378</v>
      </c>
      <c r="D555" s="4" t="e" cm="1">
        <f t="array" aca="1" ref="D555" ca="1">RIGHT(INDIRECT(ADDRESS(6,2,,,$A555)),6)</f>
        <v>#VALUE!</v>
      </c>
      <c r="E555" s="1" t="e" cm="1">
        <f t="array" aca="1" ref="E555" ca="1">RIGHT(INDIRECT(ADDRESS(4,2,,,$A555)),5)</f>
        <v>#VALUE!</v>
      </c>
      <c r="F555" s="22">
        <v>1.0335000000000001</v>
      </c>
      <c r="G555" s="22">
        <f t="shared" si="143"/>
        <v>1.0325</v>
      </c>
      <c r="H555" s="7">
        <v>7</v>
      </c>
      <c r="I555" s="7">
        <v>3</v>
      </c>
      <c r="J555" s="26">
        <v>4</v>
      </c>
      <c r="K555" s="26"/>
      <c r="L555" s="26" t="s">
        <v>350</v>
      </c>
      <c r="M555" s="26" t="s">
        <v>351</v>
      </c>
      <c r="N555" s="9" t="str">
        <f>LEFT(INDEX('2026_SCH_SHEA_BMT_ALLO_REL'!$A$1:$E$30,MATCH($H555,'2026_SCH_SHEA_BMT_ALLO_REL'!$A$1:$A$30),MATCH(I555,'2026_SCH_SHEA_BMT_ALLO_REL'!$A$1:$D$1)),30)</f>
        <v xml:space="preserve">PER DIEM RATES for day 61+ of </v>
      </c>
      <c r="O555" s="16">
        <v>2474</v>
      </c>
      <c r="P555" s="507">
        <f t="shared" si="152"/>
        <v>2554</v>
      </c>
    </row>
    <row r="556" spans="1:17">
      <c r="A556" s="1" t="e">
        <f ca="1">'2026_SCH_SHEA_BMT_ALLO_REL'!$A$1</f>
        <v>#VALUE!</v>
      </c>
      <c r="B556" s="14" t="e">
        <f t="shared" ca="1" si="151"/>
        <v>#VALUE!</v>
      </c>
      <c r="C556" s="1" t="s">
        <v>378</v>
      </c>
      <c r="D556" s="4" t="e" cm="1">
        <f t="array" aca="1" ref="D556" ca="1">RIGHT(INDIRECT(ADDRESS(6,2,,,$A556)),6)</f>
        <v>#VALUE!</v>
      </c>
      <c r="E556" s="1" t="e" cm="1">
        <f t="array" aca="1" ref="E556" ca="1">RIGHT(INDIRECT(ADDRESS(4,2,,,$A556)),5)</f>
        <v>#VALUE!</v>
      </c>
      <c r="F556" s="22">
        <v>1.0335000000000001</v>
      </c>
      <c r="G556" s="22">
        <f t="shared" si="143"/>
        <v>1.0325</v>
      </c>
      <c r="H556" s="7">
        <v>8</v>
      </c>
      <c r="I556" s="7">
        <v>3</v>
      </c>
      <c r="J556" s="26">
        <v>4</v>
      </c>
      <c r="K556" s="26"/>
      <c r="L556" s="26" t="s">
        <v>350</v>
      </c>
      <c r="M556" s="26" t="s">
        <v>351</v>
      </c>
      <c r="N556" s="9" t="str">
        <f>LEFT(INDEX('2026_SCH_SHEA_BMT_ALLO_REL'!$A$1:$E$30,MATCH($H556,'2026_SCH_SHEA_BMT_ALLO_REL'!$A$1:$A$30),MATCH(I556,'2026_SCH_SHEA_BMT_ALLO_REL'!$A$1:$D$1)),30)</f>
        <v>Days 11+/61+ paid at the per d</v>
      </c>
      <c r="O556" s="16">
        <v>7263.18</v>
      </c>
      <c r="P556" s="509">
        <f>O556*$Q$2</f>
        <v>8014.1928120000002</v>
      </c>
      <c r="Q556" s="14" t="s">
        <v>352</v>
      </c>
    </row>
    <row r="557" spans="1:17">
      <c r="A557" s="1" t="e">
        <f ca="1">'2026_SCH_SHEA_HAPLOID_BMT'!$A$1</f>
        <v>#VALUE!</v>
      </c>
      <c r="B557" s="14" t="e">
        <f t="shared" ca="1" si="151"/>
        <v>#VALUE!</v>
      </c>
      <c r="C557" s="1" t="s">
        <v>378</v>
      </c>
      <c r="D557" s="4" t="e" cm="1">
        <f t="array" aca="1" ref="D557" ca="1">RIGHT(INDIRECT(ADDRESS(6,2,,,$A557)),6)</f>
        <v>#VALUE!</v>
      </c>
      <c r="E557" s="1" t="e" cm="1">
        <f t="array" aca="1" ref="E557" ca="1">RIGHT(INDIRECT(ADDRESS(4,2,,,$A557)),5)</f>
        <v>#VALUE!</v>
      </c>
      <c r="F557" s="22">
        <v>1.0335000000000001</v>
      </c>
      <c r="G557" s="22">
        <f t="shared" si="143"/>
        <v>1.0325</v>
      </c>
      <c r="H557" s="7">
        <v>1</v>
      </c>
      <c r="I557" s="7">
        <v>3</v>
      </c>
      <c r="J557" s="26">
        <v>4</v>
      </c>
      <c r="K557" s="26"/>
      <c r="L557" s="26" t="s">
        <v>350</v>
      </c>
      <c r="M557" s="26" t="s">
        <v>351</v>
      </c>
      <c r="N557" s="9" t="str">
        <f>LEFT(INDEX('2026_SCH_SHEA_HAPLOID_BMT'!$A$1:$E$30,MATCH($H557,'2026_SCH_SHEA_HAPLOID_BMT'!$A$1:$A$30),MATCH(I557,'2026_SCH_SHEA_HAPLOID_BMT'!$A$1:$D$1)),30)</f>
        <v>OUTPATIENT EVALUATION* - Initi</v>
      </c>
      <c r="O557" s="16">
        <v>6443</v>
      </c>
      <c r="P557" s="507">
        <f t="shared" ref="P557:P563" si="153">ROUND(O557*$G$2,0)</f>
        <v>6652</v>
      </c>
    </row>
    <row r="558" spans="1:17">
      <c r="A558" s="1" t="e">
        <f ca="1">'2026_SCH_SHEA_HAPLOID_BMT'!$A$1</f>
        <v>#VALUE!</v>
      </c>
      <c r="B558" s="14" t="e">
        <f t="shared" ca="1" si="151"/>
        <v>#VALUE!</v>
      </c>
      <c r="C558" s="1" t="s">
        <v>378</v>
      </c>
      <c r="D558" s="4" t="e" cm="1">
        <f t="array" aca="1" ref="D558" ca="1">RIGHT(INDIRECT(ADDRESS(6,2,,,$A558)),6)</f>
        <v>#VALUE!</v>
      </c>
      <c r="E558" s="1" t="e" cm="1">
        <f t="array" aca="1" ref="E558" ca="1">RIGHT(INDIRECT(ADDRESS(4,2,,,$A558)),5)</f>
        <v>#VALUE!</v>
      </c>
      <c r="F558" s="22">
        <v>1.0335000000000001</v>
      </c>
      <c r="G558" s="22">
        <f t="shared" si="143"/>
        <v>1.0325</v>
      </c>
      <c r="H558" s="7">
        <v>2</v>
      </c>
      <c r="I558" s="7">
        <v>3</v>
      </c>
      <c r="J558" s="26">
        <v>4</v>
      </c>
      <c r="K558" s="26"/>
      <c r="L558" s="26" t="s">
        <v>350</v>
      </c>
      <c r="M558" s="26" t="s">
        <v>351</v>
      </c>
      <c r="N558" s="9" t="str">
        <f>LEFT(INDEX('2026_SCH_SHEA_HAPLOID_BMT'!$A$1:$E$30,MATCH($H558,'2026_SCH_SHEA_HAPLOID_BMT'!$A$1:$A$30),MATCH(I558,'2026_SCH_SHEA_HAPLOID_BMT'!$A$1:$D$1)),30)</f>
        <v>RELATED DONOR SEARCH*</v>
      </c>
      <c r="O558" s="16">
        <v>8013</v>
      </c>
      <c r="P558" s="507">
        <f t="shared" si="153"/>
        <v>8273</v>
      </c>
    </row>
    <row r="559" spans="1:17">
      <c r="A559" s="1" t="e">
        <f ca="1">'2026_SCH_SHEA_HAPLOID_BMT'!$A$1</f>
        <v>#VALUE!</v>
      </c>
      <c r="B559" s="14" t="e">
        <f t="shared" ca="1" si="151"/>
        <v>#VALUE!</v>
      </c>
      <c r="C559" s="1" t="s">
        <v>378</v>
      </c>
      <c r="D559" s="4" t="e" cm="1">
        <f t="array" aca="1" ref="D559" ca="1">RIGHT(INDIRECT(ADDRESS(6,2,,,$A559)),6)</f>
        <v>#VALUE!</v>
      </c>
      <c r="E559" s="1" t="e" cm="1">
        <f t="array" aca="1" ref="E559" ca="1">RIGHT(INDIRECT(ADDRESS(4,2,,,$A559)),5)</f>
        <v>#VALUE!</v>
      </c>
      <c r="F559" s="22">
        <v>1.0335000000000001</v>
      </c>
      <c r="G559" s="22">
        <f t="shared" si="143"/>
        <v>1.0325</v>
      </c>
      <c r="H559" s="7">
        <v>3</v>
      </c>
      <c r="I559" s="7">
        <v>3</v>
      </c>
      <c r="J559" s="26">
        <v>4</v>
      </c>
      <c r="K559" s="26"/>
      <c r="L559" s="26" t="s">
        <v>350</v>
      </c>
      <c r="M559" s="26" t="s">
        <v>351</v>
      </c>
      <c r="N559" s="9" t="str">
        <f>LEFT(INDEX('2026_SCH_SHEA_HAPLOID_BMT'!$A$1:$E$30,MATCH($H559,'2026_SCH_SHEA_HAPLOID_BMT'!$A$1:$A$30),MATCH(I559,'2026_SCH_SHEA_HAPLOID_BMT'!$A$1:$D$1)),30)</f>
        <v>DONOR HARVEST (includes stem c</v>
      </c>
      <c r="O559" s="16">
        <v>21029</v>
      </c>
      <c r="P559" s="507">
        <f t="shared" si="153"/>
        <v>21712</v>
      </c>
    </row>
    <row r="560" spans="1:17">
      <c r="A560" s="1" t="e">
        <f ca="1">'2026_SCH_SHEA_HAPLOID_BMT'!$A$1</f>
        <v>#VALUE!</v>
      </c>
      <c r="B560" s="14" t="e">
        <f t="shared" ca="1" si="151"/>
        <v>#VALUE!</v>
      </c>
      <c r="C560" s="1" t="s">
        <v>378</v>
      </c>
      <c r="D560" s="4" t="e" cm="1">
        <f t="array" aca="1" ref="D560" ca="1">RIGHT(INDIRECT(ADDRESS(6,2,,,$A560)),6)</f>
        <v>#VALUE!</v>
      </c>
      <c r="E560" s="1" t="e" cm="1">
        <f t="array" aca="1" ref="E560" ca="1">RIGHT(INDIRECT(ADDRESS(4,2,,,$A560)),5)</f>
        <v>#VALUE!</v>
      </c>
      <c r="F560" s="22">
        <v>1.0335000000000001</v>
      </c>
      <c r="G560" s="22">
        <f t="shared" si="143"/>
        <v>1.0325</v>
      </c>
      <c r="H560" s="7">
        <v>4</v>
      </c>
      <c r="I560" s="7">
        <v>3</v>
      </c>
      <c r="J560" s="26">
        <v>4</v>
      </c>
      <c r="K560" s="26"/>
      <c r="L560" s="26" t="s">
        <v>350</v>
      </c>
      <c r="M560" s="26" t="s">
        <v>351</v>
      </c>
      <c r="N560" s="9" t="str">
        <f>LEFT(INDEX('2026_SCH_SHEA_HAPLOID_BMT'!$A$1:$E$30,MATCH($H560,'2026_SCH_SHEA_HAPLOID_BMT'!$A$1:$A$30),MATCH(I560,'2026_SCH_SHEA_HAPLOID_BMT'!$A$1:$D$1)),30)</f>
        <v>PREP AND TRANSPLANT</v>
      </c>
      <c r="O560" s="16">
        <v>119400</v>
      </c>
      <c r="P560" s="507">
        <f t="shared" si="153"/>
        <v>123281</v>
      </c>
    </row>
    <row r="561" spans="1:17">
      <c r="A561" s="1" t="e">
        <f ca="1">'2026_SCH_SHEA_HAPLOID_BMT'!$A$1</f>
        <v>#VALUE!</v>
      </c>
      <c r="B561" s="14" t="e">
        <f t="shared" ca="1" si="151"/>
        <v>#VALUE!</v>
      </c>
      <c r="C561" s="1" t="s">
        <v>378</v>
      </c>
      <c r="D561" s="4" t="e" cm="1">
        <f t="array" aca="1" ref="D561" ca="1">RIGHT(INDIRECT(ADDRESS(6,2,,,$A561)),6)</f>
        <v>#VALUE!</v>
      </c>
      <c r="E561" s="1" t="e" cm="1">
        <f t="array" aca="1" ref="E561" ca="1">RIGHT(INDIRECT(ADDRESS(4,2,,,$A561)),5)</f>
        <v>#VALUE!</v>
      </c>
      <c r="F561" s="22">
        <v>1.0335000000000001</v>
      </c>
      <c r="G561" s="22">
        <f t="shared" si="143"/>
        <v>1.0325</v>
      </c>
      <c r="H561" s="7">
        <v>5</v>
      </c>
      <c r="I561" s="7">
        <v>3</v>
      </c>
      <c r="J561" s="26">
        <v>4</v>
      </c>
      <c r="K561" s="26"/>
      <c r="L561" s="26" t="s">
        <v>350</v>
      </c>
      <c r="M561" s="26" t="s">
        <v>351</v>
      </c>
      <c r="N561" s="9" t="str">
        <f>LEFT(INDEX('2026_SCH_SHEA_HAPLOID_BMT'!$A$1:$E$30,MATCH($H561,'2026_SCH_SHEA_HAPLOID_BMT'!$A$1:$A$30),MATCH(I561,'2026_SCH_SHEA_HAPLOID_BMT'!$A$1:$D$1)),30)</f>
        <v>FOLLOW UP CARE - From day 1 po</v>
      </c>
      <c r="O561" s="16">
        <v>43702</v>
      </c>
      <c r="P561" s="507">
        <f t="shared" si="153"/>
        <v>45122</v>
      </c>
    </row>
    <row r="562" spans="1:17">
      <c r="A562" s="1" t="e">
        <f ca="1">'2026_SCH_SHEA_HAPLOID_BMT'!$A$1</f>
        <v>#VALUE!</v>
      </c>
      <c r="B562" s="14" t="e">
        <f t="shared" ca="1" si="151"/>
        <v>#VALUE!</v>
      </c>
      <c r="C562" s="1" t="s">
        <v>378</v>
      </c>
      <c r="D562" s="4" t="e" cm="1">
        <f t="array" aca="1" ref="D562" ca="1">RIGHT(INDIRECT(ADDRESS(6,2,,,$A562)),6)</f>
        <v>#VALUE!</v>
      </c>
      <c r="E562" s="1" t="e" cm="1">
        <f t="array" aca="1" ref="E562" ca="1">RIGHT(INDIRECT(ADDRESS(4,2,,,$A562)),5)</f>
        <v>#VALUE!</v>
      </c>
      <c r="F562" s="22">
        <v>1.0335000000000001</v>
      </c>
      <c r="G562" s="22">
        <f t="shared" si="143"/>
        <v>1.0325</v>
      </c>
      <c r="H562" s="7">
        <v>6</v>
      </c>
      <c r="I562" s="7">
        <v>3</v>
      </c>
      <c r="J562" s="26">
        <v>4</v>
      </c>
      <c r="K562" s="26"/>
      <c r="L562" s="26" t="s">
        <v>350</v>
      </c>
      <c r="M562" s="26" t="s">
        <v>351</v>
      </c>
      <c r="N562" s="9" t="str">
        <f>LEFT(INDEX('2026_SCH_SHEA_HAPLOID_BMT'!$A$1:$E$30,MATCH($H562,'2026_SCH_SHEA_HAPLOID_BMT'!$A$1:$A$30),MATCH(I562,'2026_SCH_SHEA_HAPLOID_BMT'!$A$1:$D$1)),30)</f>
        <v xml:space="preserve">FOLLOW UP CARE - From day 31  </v>
      </c>
      <c r="O562" s="16">
        <v>29137</v>
      </c>
      <c r="P562" s="507">
        <f t="shared" si="153"/>
        <v>30084</v>
      </c>
    </row>
    <row r="563" spans="1:17">
      <c r="A563" s="1" t="e">
        <f ca="1">'2026_SCH_SHEA_HAPLOID_BMT'!$A$1</f>
        <v>#VALUE!</v>
      </c>
      <c r="B563" s="14" t="e">
        <f t="shared" ca="1" si="151"/>
        <v>#VALUE!</v>
      </c>
      <c r="C563" s="1" t="s">
        <v>378</v>
      </c>
      <c r="D563" s="4" t="e" cm="1">
        <f t="array" aca="1" ref="D563" ca="1">RIGHT(INDIRECT(ADDRESS(6,2,,,$A563)),6)</f>
        <v>#VALUE!</v>
      </c>
      <c r="E563" s="1" t="e" cm="1">
        <f t="array" aca="1" ref="E563" ca="1">RIGHT(INDIRECT(ADDRESS(4,2,,,$A563)),5)</f>
        <v>#VALUE!</v>
      </c>
      <c r="F563" s="22">
        <v>1.0335000000000001</v>
      </c>
      <c r="G563" s="22">
        <f t="shared" si="143"/>
        <v>1.0325</v>
      </c>
      <c r="H563" s="7">
        <v>7</v>
      </c>
      <c r="I563" s="7">
        <v>3</v>
      </c>
      <c r="J563" s="26">
        <v>4</v>
      </c>
      <c r="K563" s="26"/>
      <c r="L563" s="26" t="s">
        <v>350</v>
      </c>
      <c r="M563" s="26" t="s">
        <v>351</v>
      </c>
      <c r="N563" s="9" t="str">
        <f>LEFT(INDEX('2026_SCH_SHEA_HAPLOID_BMT'!$A$1:$E$30,MATCH($H563,'2026_SCH_SHEA_HAPLOID_BMT'!$A$1:$A$30),MATCH(I563,'2026_SCH_SHEA_HAPLOID_BMT'!$A$1:$D$1)),30)</f>
        <v xml:space="preserve">PER DIEM RATES for day 61+ of </v>
      </c>
      <c r="O563" s="16">
        <v>2474</v>
      </c>
      <c r="P563" s="507">
        <f t="shared" si="153"/>
        <v>2554</v>
      </c>
    </row>
    <row r="564" spans="1:17">
      <c r="A564" s="1" t="e">
        <f ca="1">'2026_SCH_SHEA_HAPLOID_BMT'!$A$1</f>
        <v>#VALUE!</v>
      </c>
      <c r="B564" s="14" t="e">
        <f t="shared" ca="1" si="151"/>
        <v>#VALUE!</v>
      </c>
      <c r="C564" s="1" t="s">
        <v>378</v>
      </c>
      <c r="D564" s="4" t="e" cm="1">
        <f t="array" aca="1" ref="D564" ca="1">RIGHT(INDIRECT(ADDRESS(6,2,,,$A564)),6)</f>
        <v>#VALUE!</v>
      </c>
      <c r="E564" s="1" t="e" cm="1">
        <f t="array" aca="1" ref="E564" ca="1">RIGHT(INDIRECT(ADDRESS(4,2,,,$A564)),5)</f>
        <v>#VALUE!</v>
      </c>
      <c r="F564" s="22">
        <v>1.0335000000000001</v>
      </c>
      <c r="G564" s="22">
        <f t="shared" si="143"/>
        <v>1.0325</v>
      </c>
      <c r="H564" s="7">
        <v>8</v>
      </c>
      <c r="I564" s="7">
        <v>3</v>
      </c>
      <c r="J564" s="26">
        <v>4</v>
      </c>
      <c r="K564" s="26"/>
      <c r="L564" s="26" t="s">
        <v>350</v>
      </c>
      <c r="M564" s="26" t="s">
        <v>351</v>
      </c>
      <c r="N564" s="9" t="str">
        <f>LEFT(INDEX('2026_SCH_SHEA_HAPLOID_BMT'!$A$1:$E$30,MATCH($H564,'2026_SCH_SHEA_HAPLOID_BMT'!$A$1:$A$30),MATCH(I564,'2026_SCH_SHEA_HAPLOID_BMT'!$A$1:$D$1)),30)</f>
        <v>Days 11+/61+ paid at the per d</v>
      </c>
      <c r="O564" s="16">
        <v>7263.18</v>
      </c>
      <c r="P564" s="509">
        <f>O564*$Q$2</f>
        <v>8014.1928120000002</v>
      </c>
      <c r="Q564" s="14" t="s">
        <v>352</v>
      </c>
    </row>
    <row r="565" spans="1:17">
      <c r="A565" s="1" t="e">
        <f ca="1">'2026_SCH_SHEA_BMT_ALLO_UNREL'!$A$1</f>
        <v>#VALUE!</v>
      </c>
      <c r="B565" s="14" t="e">
        <f t="shared" ca="1" si="151"/>
        <v>#VALUE!</v>
      </c>
      <c r="C565" s="1" t="s">
        <v>378</v>
      </c>
      <c r="D565" s="4" t="e" cm="1">
        <f t="array" aca="1" ref="D565" ca="1">RIGHT(INDIRECT(ADDRESS(6,2,,,$A565)),6)</f>
        <v>#VALUE!</v>
      </c>
      <c r="E565" s="1" t="e" cm="1">
        <f t="array" aca="1" ref="E565" ca="1">RIGHT(INDIRECT(ADDRESS(4,2,,,$A565)),5)</f>
        <v>#VALUE!</v>
      </c>
      <c r="F565" s="22">
        <v>1.0335000000000001</v>
      </c>
      <c r="G565" s="22">
        <f t="shared" si="143"/>
        <v>1.0325</v>
      </c>
      <c r="H565" s="7">
        <v>1</v>
      </c>
      <c r="I565" s="7">
        <v>3</v>
      </c>
      <c r="J565" s="26">
        <v>4</v>
      </c>
      <c r="K565" s="26"/>
      <c r="L565" s="26" t="s">
        <v>350</v>
      </c>
      <c r="M565" s="26" t="s">
        <v>351</v>
      </c>
      <c r="N565" s="9" t="str">
        <f>LEFT(INDEX('2026_SCH_SHEA_BMT_ALLO_UNREL'!$A$1:$E$30,MATCH($H565,'2026_SCH_SHEA_BMT_ALLO_UNREL'!$A$1:$A$30),MATCH(I565,'2026_SCH_SHEA_BMT_ALLO_UNREL'!$A$1:$D$1)),30)</f>
        <v>OUTPATIENT EVALUATION* - Initi</v>
      </c>
      <c r="O565" s="16">
        <v>6583</v>
      </c>
      <c r="P565" s="507">
        <f t="shared" ref="P565:P566" si="154">ROUND(O565*$G$2,0)</f>
        <v>6797</v>
      </c>
    </row>
    <row r="566" spans="1:17">
      <c r="A566" s="1" t="e">
        <f ca="1">'2026_SCH_SHEA_BMT_ALLO_UNREL'!$A$1</f>
        <v>#VALUE!</v>
      </c>
      <c r="B566" s="14" t="e">
        <f t="shared" ca="1" si="151"/>
        <v>#VALUE!</v>
      </c>
      <c r="C566" s="1" t="s">
        <v>378</v>
      </c>
      <c r="D566" s="4" t="e" cm="1">
        <f t="array" aca="1" ref="D566" ca="1">RIGHT(INDIRECT(ADDRESS(6,2,,,$A566)),6)</f>
        <v>#VALUE!</v>
      </c>
      <c r="E566" s="1" t="e" cm="1">
        <f t="array" aca="1" ref="E566" ca="1">RIGHT(INDIRECT(ADDRESS(4,2,,,$A566)),5)</f>
        <v>#VALUE!</v>
      </c>
      <c r="F566" s="22">
        <v>1.0335000000000001</v>
      </c>
      <c r="G566" s="22">
        <f t="shared" si="143"/>
        <v>1.0325</v>
      </c>
      <c r="H566" s="7">
        <v>2</v>
      </c>
      <c r="I566" s="7">
        <v>3</v>
      </c>
      <c r="J566" s="26">
        <v>4</v>
      </c>
      <c r="K566" s="26"/>
      <c r="L566" s="26" t="s">
        <v>350</v>
      </c>
      <c r="M566" s="26" t="s">
        <v>351</v>
      </c>
      <c r="N566" s="9" t="str">
        <f>LEFT(INDEX('2026_SCH_SHEA_BMT_ALLO_UNREL'!$A$1:$E$30,MATCH($H566,'2026_SCH_SHEA_BMT_ALLO_UNREL'!$A$1:$A$30),MATCH(I566,'2026_SCH_SHEA_BMT_ALLO_UNREL'!$A$1:$D$1)),30)</f>
        <v>DONOR SEARCH</v>
      </c>
      <c r="O566" s="16">
        <v>8188</v>
      </c>
      <c r="P566" s="507">
        <f t="shared" si="154"/>
        <v>8454</v>
      </c>
    </row>
    <row r="567" spans="1:17">
      <c r="A567" s="1" t="e">
        <f ca="1">'2026_SCH_SHEA_BMT_ALLO_UNREL'!$A$1</f>
        <v>#VALUE!</v>
      </c>
      <c r="B567" s="14" t="e">
        <f t="shared" ca="1" si="151"/>
        <v>#VALUE!</v>
      </c>
      <c r="C567" s="1" t="s">
        <v>378</v>
      </c>
      <c r="D567" s="4" t="e" cm="1">
        <f t="array" aca="1" ref="D567" ca="1">RIGHT(INDIRECT(ADDRESS(6,2,,,$A567)),6)</f>
        <v>#VALUE!</v>
      </c>
      <c r="E567" s="1" t="e" cm="1">
        <f t="array" aca="1" ref="E567" ca="1">RIGHT(INDIRECT(ADDRESS(4,2,,,$A567)),5)</f>
        <v>#VALUE!</v>
      </c>
      <c r="F567" s="22">
        <v>1.0335000000000001</v>
      </c>
      <c r="G567" s="22">
        <f t="shared" si="143"/>
        <v>1.0325</v>
      </c>
      <c r="H567" s="7">
        <v>3</v>
      </c>
      <c r="I567" s="7">
        <v>3</v>
      </c>
      <c r="J567" s="26">
        <v>4</v>
      </c>
      <c r="K567" s="26"/>
      <c r="L567" s="26" t="s">
        <v>350</v>
      </c>
      <c r="M567" s="26" t="s">
        <v>351</v>
      </c>
      <c r="N567" s="9" t="str">
        <f>LEFT(INDEX('2026_SCH_SHEA_BMT_ALLO_UNREL'!$A$1:$E$30,MATCH($H567,'2026_SCH_SHEA_BMT_ALLO_UNREL'!$A$1:$A$30),MATCH(I567,'2026_SCH_SHEA_BMT_ALLO_UNREL'!$A$1:$D$1)),30)</f>
        <v>DONOR HARVEST</v>
      </c>
      <c r="O567" s="16" t="s">
        <v>355</v>
      </c>
      <c r="P567" s="507" t="str">
        <f>O567</f>
        <v>NBMD or Cord blood Invoice Cost</v>
      </c>
      <c r="Q567" s="14" t="s">
        <v>354</v>
      </c>
    </row>
    <row r="568" spans="1:17">
      <c r="A568" s="1" t="e">
        <f ca="1">'2026_SCH_SHEA_BMT_ALLO_UNREL'!$A$1</f>
        <v>#VALUE!</v>
      </c>
      <c r="B568" s="14" t="e">
        <f t="shared" ca="1" si="151"/>
        <v>#VALUE!</v>
      </c>
      <c r="C568" s="1" t="s">
        <v>378</v>
      </c>
      <c r="D568" s="4" t="e" cm="1">
        <f t="array" aca="1" ref="D568" ca="1">RIGHT(INDIRECT(ADDRESS(6,2,,,$A568)),6)</f>
        <v>#VALUE!</v>
      </c>
      <c r="E568" s="1" t="e" cm="1">
        <f t="array" aca="1" ref="E568" ca="1">RIGHT(INDIRECT(ADDRESS(4,2,,,$A568)),5)</f>
        <v>#VALUE!</v>
      </c>
      <c r="F568" s="22">
        <v>1.0335000000000001</v>
      </c>
      <c r="G568" s="22">
        <f t="shared" si="143"/>
        <v>1.0325</v>
      </c>
      <c r="H568" s="7">
        <v>4</v>
      </c>
      <c r="I568" s="7">
        <v>3</v>
      </c>
      <c r="J568" s="26">
        <v>4</v>
      </c>
      <c r="K568" s="26"/>
      <c r="L568" s="26" t="s">
        <v>350</v>
      </c>
      <c r="M568" s="26" t="s">
        <v>351</v>
      </c>
      <c r="N568" s="9" t="str">
        <f>LEFT(INDEX('2026_SCH_SHEA_BMT_ALLO_UNREL'!$A$1:$E$30,MATCH($H568,'2026_SCH_SHEA_BMT_ALLO_UNREL'!$A$1:$A$30),MATCH(I568,'2026_SCH_SHEA_BMT_ALLO_UNREL'!$A$1:$D$1)),30)</f>
        <v>PREP AND TRANSPLANT</v>
      </c>
      <c r="O568" s="16">
        <v>122027</v>
      </c>
      <c r="P568" s="507">
        <f t="shared" ref="P568:P571" si="155">ROUND(O568*$G$2,0)</f>
        <v>125993</v>
      </c>
    </row>
    <row r="569" spans="1:17">
      <c r="A569" s="1" t="e">
        <f ca="1">'2026_SCH_SHEA_BMT_ALLO_UNREL'!$A$1</f>
        <v>#VALUE!</v>
      </c>
      <c r="B569" s="14" t="e">
        <f t="shared" ca="1" si="151"/>
        <v>#VALUE!</v>
      </c>
      <c r="C569" s="1" t="s">
        <v>378</v>
      </c>
      <c r="D569" s="4" t="e" cm="1">
        <f t="array" aca="1" ref="D569" ca="1">RIGHT(INDIRECT(ADDRESS(6,2,,,$A569)),6)</f>
        <v>#VALUE!</v>
      </c>
      <c r="E569" s="1" t="e" cm="1">
        <f t="array" aca="1" ref="E569" ca="1">RIGHT(INDIRECT(ADDRESS(4,2,,,$A569)),5)</f>
        <v>#VALUE!</v>
      </c>
      <c r="F569" s="22">
        <v>1.0335000000000001</v>
      </c>
      <c r="G569" s="22">
        <f t="shared" si="143"/>
        <v>1.0325</v>
      </c>
      <c r="H569" s="7">
        <v>5</v>
      </c>
      <c r="I569" s="7">
        <v>3</v>
      </c>
      <c r="J569" s="26">
        <v>4</v>
      </c>
      <c r="K569" s="26"/>
      <c r="L569" s="26" t="s">
        <v>350</v>
      </c>
      <c r="M569" s="26" t="s">
        <v>351</v>
      </c>
      <c r="N569" s="9" t="str">
        <f>LEFT(INDEX('2026_SCH_SHEA_BMT_ALLO_UNREL'!$A$1:$E$30,MATCH($H569,'2026_SCH_SHEA_BMT_ALLO_UNREL'!$A$1:$A$30),MATCH(I569,'2026_SCH_SHEA_BMT_ALLO_UNREL'!$A$1:$D$1)),30)</f>
        <v>FOLLOW UP CARE - From day 1 po</v>
      </c>
      <c r="O569" s="16">
        <v>44664</v>
      </c>
      <c r="P569" s="507">
        <f t="shared" si="155"/>
        <v>46116</v>
      </c>
    </row>
    <row r="570" spans="1:17">
      <c r="A570" s="1" t="e">
        <f ca="1">'2026_SCH_SHEA_BMT_ALLO_UNREL'!$A$1</f>
        <v>#VALUE!</v>
      </c>
      <c r="B570" s="14" t="e">
        <f t="shared" ca="1" si="151"/>
        <v>#VALUE!</v>
      </c>
      <c r="C570" s="1" t="s">
        <v>378</v>
      </c>
      <c r="D570" s="4" t="e" cm="1">
        <f t="array" aca="1" ref="D570" ca="1">RIGHT(INDIRECT(ADDRESS(6,2,,,$A570)),6)</f>
        <v>#VALUE!</v>
      </c>
      <c r="E570" s="1" t="e" cm="1">
        <f t="array" aca="1" ref="E570" ca="1">RIGHT(INDIRECT(ADDRESS(4,2,,,$A570)),5)</f>
        <v>#VALUE!</v>
      </c>
      <c r="F570" s="22">
        <v>1.0335000000000001</v>
      </c>
      <c r="G570" s="22">
        <f t="shared" si="143"/>
        <v>1.0325</v>
      </c>
      <c r="H570" s="7">
        <v>6</v>
      </c>
      <c r="I570" s="7">
        <v>3</v>
      </c>
      <c r="J570" s="26">
        <v>4</v>
      </c>
      <c r="K570" s="26"/>
      <c r="L570" s="26" t="s">
        <v>350</v>
      </c>
      <c r="M570" s="26" t="s">
        <v>351</v>
      </c>
      <c r="N570" s="9" t="str">
        <f>LEFT(INDEX('2026_SCH_SHEA_BMT_ALLO_UNREL'!$A$1:$E$30,MATCH($H570,'2026_SCH_SHEA_BMT_ALLO_UNREL'!$A$1:$A$30),MATCH(I570,'2026_SCH_SHEA_BMT_ALLO_UNREL'!$A$1:$D$1)),30)</f>
        <v xml:space="preserve">FOLLOW UP CARE - From day 31  </v>
      </c>
      <c r="O570" s="16">
        <v>29778</v>
      </c>
      <c r="P570" s="507">
        <f t="shared" si="155"/>
        <v>30746</v>
      </c>
    </row>
    <row r="571" spans="1:17">
      <c r="A571" s="1" t="e">
        <f ca="1">'2026_SCH_SHEA_BMT_ALLO_UNREL'!$A$1</f>
        <v>#VALUE!</v>
      </c>
      <c r="B571" s="14" t="e">
        <f t="shared" ca="1" si="151"/>
        <v>#VALUE!</v>
      </c>
      <c r="C571" s="1" t="s">
        <v>378</v>
      </c>
      <c r="D571" s="4" t="e" cm="1">
        <f t="array" aca="1" ref="D571" ca="1">RIGHT(INDIRECT(ADDRESS(6,2,,,$A571)),6)</f>
        <v>#VALUE!</v>
      </c>
      <c r="E571" s="1" t="e" cm="1">
        <f t="array" aca="1" ref="E571" ca="1">RIGHT(INDIRECT(ADDRESS(4,2,,,$A571)),5)</f>
        <v>#VALUE!</v>
      </c>
      <c r="F571" s="22">
        <v>1.0335000000000001</v>
      </c>
      <c r="G571" s="22">
        <f t="shared" si="143"/>
        <v>1.0325</v>
      </c>
      <c r="H571" s="7">
        <v>7</v>
      </c>
      <c r="I571" s="7">
        <v>3</v>
      </c>
      <c r="J571" s="26">
        <v>4</v>
      </c>
      <c r="K571" s="26"/>
      <c r="L571" s="26" t="s">
        <v>350</v>
      </c>
      <c r="M571" s="26" t="s">
        <v>351</v>
      </c>
      <c r="N571" s="9" t="str">
        <f>LEFT(INDEX('2026_SCH_SHEA_BMT_ALLO_UNREL'!$A$1:$E$30,MATCH($H571,'2026_SCH_SHEA_BMT_ALLO_UNREL'!$A$1:$A$30),MATCH(I571,'2026_SCH_SHEA_BMT_ALLO_UNREL'!$A$1:$D$1)),30)</f>
        <v xml:space="preserve">PER DIEM RATES for day 61+ of </v>
      </c>
      <c r="O571" s="16">
        <v>2474</v>
      </c>
      <c r="P571" s="507">
        <f t="shared" si="155"/>
        <v>2554</v>
      </c>
    </row>
    <row r="572" spans="1:17">
      <c r="A572" s="1" t="e">
        <f ca="1">'2026_SCH_SHEA_BMT_ALLO_UNREL'!$A$1</f>
        <v>#VALUE!</v>
      </c>
      <c r="B572" s="14" t="e">
        <f t="shared" ca="1" si="151"/>
        <v>#VALUE!</v>
      </c>
      <c r="C572" s="1" t="s">
        <v>378</v>
      </c>
      <c r="D572" s="4" t="e" cm="1">
        <f t="array" aca="1" ref="D572" ca="1">RIGHT(INDIRECT(ADDRESS(6,2,,,$A572)),6)</f>
        <v>#VALUE!</v>
      </c>
      <c r="E572" s="1" t="e" cm="1">
        <f t="array" aca="1" ref="E572" ca="1">RIGHT(INDIRECT(ADDRESS(4,2,,,$A572)),5)</f>
        <v>#VALUE!</v>
      </c>
      <c r="F572" s="22">
        <v>1.0335000000000001</v>
      </c>
      <c r="G572" s="22">
        <f t="shared" si="143"/>
        <v>1.0325</v>
      </c>
      <c r="H572" s="7">
        <v>8</v>
      </c>
      <c r="I572" s="7">
        <v>3</v>
      </c>
      <c r="J572" s="26">
        <v>4</v>
      </c>
      <c r="K572" s="26"/>
      <c r="L572" s="26" t="s">
        <v>350</v>
      </c>
      <c r="M572" s="26" t="s">
        <v>351</v>
      </c>
      <c r="N572" s="9" t="str">
        <f>LEFT(INDEX('2026_SCH_SHEA_BMT_ALLO_UNREL'!$A$1:$E$30,MATCH($H572,'2026_SCH_SHEA_BMT_ALLO_UNREL'!$A$1:$A$30),MATCH(I572,'2026_SCH_SHEA_BMT_ALLO_UNREL'!$A$1:$D$1)),30)</f>
        <v>Days 11+/61+ paid at the per d</v>
      </c>
      <c r="O572" s="16">
        <v>7263.18</v>
      </c>
      <c r="P572" s="509">
        <f>O572*$Q$2</f>
        <v>8014.1928120000002</v>
      </c>
      <c r="Q572" s="14" t="s">
        <v>352</v>
      </c>
    </row>
    <row r="573" spans="1:17">
      <c r="A573" s="1" t="e">
        <f ca="1">'2026_SCH_SHEA_TBI'!$A$1</f>
        <v>#VALUE!</v>
      </c>
      <c r="B573" s="14" t="e">
        <f t="shared" ca="1" si="151"/>
        <v>#VALUE!</v>
      </c>
      <c r="C573" s="1" t="s">
        <v>378</v>
      </c>
      <c r="D573" s="4" t="e" cm="1">
        <f t="array" aca="1" ref="D573" ca="1">RIGHT(INDIRECT(ADDRESS(6,2,,,$A573)),6)</f>
        <v>#VALUE!</v>
      </c>
      <c r="E573" s="1" t="e" cm="1">
        <f t="array" aca="1" ref="E573" ca="1">RIGHT(INDIRECT(ADDRESS(4,2,,,$A573)),5)</f>
        <v>#VALUE!</v>
      </c>
      <c r="F573" s="22">
        <v>1.0335000000000001</v>
      </c>
      <c r="G573" s="22">
        <f t="shared" si="143"/>
        <v>1.0325</v>
      </c>
      <c r="H573" s="7">
        <v>1</v>
      </c>
      <c r="I573" s="7">
        <v>3</v>
      </c>
      <c r="J573" s="26">
        <v>4</v>
      </c>
      <c r="K573" s="26"/>
      <c r="L573" s="26" t="s">
        <v>350</v>
      </c>
      <c r="M573" s="26" t="s">
        <v>351</v>
      </c>
      <c r="N573" s="9" t="str">
        <f>LEFT(INDEX('2026_SCH_SHEA_TBI'!$A$1:$E$30,MATCH($H573,'2026_SCH_SHEA_TBI'!$A$1:$A$30),MATCH(I573,'2026_SCH_SHEA_TBI'!$A$1:$D$1)),30)</f>
        <v xml:space="preserve">TOTAL BODY IRRADIATION (TBI)  </v>
      </c>
      <c r="O573" s="16">
        <v>7818</v>
      </c>
      <c r="P573" s="507">
        <f t="shared" ref="P573:P578" si="156">ROUND(O573*$G$2,0)</f>
        <v>8072</v>
      </c>
    </row>
    <row r="574" spans="1:17">
      <c r="A574" s="1" t="e">
        <f ca="1">'2026_ST_JOSEPHS_SINGLE_LUNG'!$A$1</f>
        <v>#VALUE!</v>
      </c>
      <c r="B574" s="14" t="e">
        <f t="shared" ca="1" si="151"/>
        <v>#VALUE!</v>
      </c>
      <c r="C574" s="1" t="s">
        <v>379</v>
      </c>
      <c r="D574" s="4" t="e" cm="1">
        <f t="array" aca="1" ref="D574" ca="1">RIGHT(INDIRECT(ADDRESS(6,2,,,$A574)),6)</f>
        <v>#VALUE!</v>
      </c>
      <c r="E574" s="1" t="e" cm="1">
        <f t="array" aca="1" ref="E574" ca="1">RIGHT(INDIRECT(ADDRESS(4,2,,,$A574)),5)</f>
        <v>#VALUE!</v>
      </c>
      <c r="F574" s="22">
        <v>1.0335000000000001</v>
      </c>
      <c r="G574" s="22">
        <f t="shared" si="143"/>
        <v>1.0325</v>
      </c>
      <c r="H574" s="7">
        <v>1</v>
      </c>
      <c r="I574" s="7">
        <v>3</v>
      </c>
      <c r="J574" s="26">
        <v>4</v>
      </c>
      <c r="K574" s="26"/>
      <c r="L574" s="26" t="s">
        <v>350</v>
      </c>
      <c r="M574" s="26" t="s">
        <v>351</v>
      </c>
      <c r="N574" s="9" t="str">
        <f>LEFT(INDEX('2026_ST_JOSEPHS_SINGLE_LUNG'!$A$1:$E$30,MATCH($H574,'2026_ST_JOSEPHS_SINGLE_LUNG'!$A$1:$A$30),MATCH(I574,'2026_ST_JOSEPHS_SINGLE_LUNG'!$A$1:$D$1)),30)</f>
        <v>OUTPATIENT EVALUATION* - Initi</v>
      </c>
      <c r="O574" s="16">
        <v>10070</v>
      </c>
      <c r="P574" s="507">
        <f t="shared" si="156"/>
        <v>10397</v>
      </c>
    </row>
    <row r="575" spans="1:17">
      <c r="A575" s="1" t="e">
        <f ca="1">'2026_ST_JOSEPHS_SINGLE_LUNG'!$A$1</f>
        <v>#VALUE!</v>
      </c>
      <c r="B575" s="14" t="e">
        <f t="shared" ca="1" si="151"/>
        <v>#VALUE!</v>
      </c>
      <c r="C575" s="1" t="s">
        <v>379</v>
      </c>
      <c r="D575" s="4" t="e" cm="1">
        <f t="array" aca="1" ref="D575" ca="1">RIGHT(INDIRECT(ADDRESS(6,2,,,$A575)),6)</f>
        <v>#VALUE!</v>
      </c>
      <c r="E575" s="1" t="e" cm="1">
        <f t="array" aca="1" ref="E575" ca="1">RIGHT(INDIRECT(ADDRESS(4,2,,,$A575)),5)</f>
        <v>#VALUE!</v>
      </c>
      <c r="F575" s="22">
        <v>1.0335000000000001</v>
      </c>
      <c r="G575" s="22">
        <f t="shared" si="143"/>
        <v>1.0325</v>
      </c>
      <c r="H575" s="7">
        <v>2</v>
      </c>
      <c r="I575" s="7">
        <v>3</v>
      </c>
      <c r="J575" s="26">
        <v>4</v>
      </c>
      <c r="K575" s="26"/>
      <c r="L575" s="26" t="s">
        <v>350</v>
      </c>
      <c r="M575" s="26" t="s">
        <v>351</v>
      </c>
      <c r="N575" s="9" t="str">
        <f>LEFT(INDEX('2026_ST_JOSEPHS_SINGLE_LUNG'!$A$1:$E$30,MATCH($H575,'2026_ST_JOSEPHS_SINGLE_LUNG'!$A$1:$A$30),MATCH(I575,'2026_ST_JOSEPHS_SINGLE_LUNG'!$A$1:$D$1)),30)</f>
        <v>PREP AND TRANSPLANT</v>
      </c>
      <c r="O575" s="16">
        <v>135874</v>
      </c>
      <c r="P575" s="507">
        <f t="shared" si="156"/>
        <v>140290</v>
      </c>
    </row>
    <row r="576" spans="1:17">
      <c r="A576" s="1" t="e">
        <f ca="1">'2026_ST_JOSEPHS_SINGLE_LUNG'!$A$1</f>
        <v>#VALUE!</v>
      </c>
      <c r="B576" s="14" t="e">
        <f t="shared" ca="1" si="151"/>
        <v>#VALUE!</v>
      </c>
      <c r="C576" s="1" t="s">
        <v>379</v>
      </c>
      <c r="D576" s="4" t="e" cm="1">
        <f t="array" aca="1" ref="D576" ca="1">RIGHT(INDIRECT(ADDRESS(6,2,,,$A576)),6)</f>
        <v>#VALUE!</v>
      </c>
      <c r="E576" s="1" t="e" cm="1">
        <f t="array" aca="1" ref="E576" ca="1">RIGHT(INDIRECT(ADDRESS(4,2,,,$A576)),5)</f>
        <v>#VALUE!</v>
      </c>
      <c r="F576" s="22">
        <v>1.0335000000000001</v>
      </c>
      <c r="G576" s="22">
        <f t="shared" si="143"/>
        <v>1.0325</v>
      </c>
      <c r="H576" s="7">
        <v>3</v>
      </c>
      <c r="I576" s="7">
        <v>3</v>
      </c>
      <c r="J576" s="26">
        <v>4</v>
      </c>
      <c r="K576" s="26"/>
      <c r="L576" s="26" t="s">
        <v>350</v>
      </c>
      <c r="M576" s="26" t="s">
        <v>351</v>
      </c>
      <c r="N576" s="9" t="str">
        <f>LEFT(INDEX('2026_ST_JOSEPHS_SINGLE_LUNG'!$A$1:$E$30,MATCH($H576,'2026_ST_JOSEPHS_SINGLE_LUNG'!$A$1:$A$30),MATCH(I576,'2026_ST_JOSEPHS_SINGLE_LUNG'!$A$1:$D$1)),30)</f>
        <v>FOLLOW UP CARE - From day 1 po</v>
      </c>
      <c r="O576" s="16">
        <v>111821</v>
      </c>
      <c r="P576" s="507">
        <f t="shared" si="156"/>
        <v>115455</v>
      </c>
    </row>
    <row r="577" spans="1:17">
      <c r="A577" s="1" t="e">
        <f ca="1">'2026_ST_JOSEPHS_SINGLE_LUNG'!$A$1</f>
        <v>#VALUE!</v>
      </c>
      <c r="B577" s="14" t="e">
        <f t="shared" ca="1" si="151"/>
        <v>#VALUE!</v>
      </c>
      <c r="C577" s="1" t="s">
        <v>379</v>
      </c>
      <c r="D577" s="4" t="e" cm="1">
        <f t="array" aca="1" ref="D577" ca="1">RIGHT(INDIRECT(ADDRESS(6,2,,,$A577)),6)</f>
        <v>#VALUE!</v>
      </c>
      <c r="E577" s="1" t="e" cm="1">
        <f t="array" aca="1" ref="E577" ca="1">RIGHT(INDIRECT(ADDRESS(4,2,,,$A577)),5)</f>
        <v>#VALUE!</v>
      </c>
      <c r="F577" s="22">
        <v>1.0335000000000001</v>
      </c>
      <c r="G577" s="22">
        <f t="shared" si="143"/>
        <v>1.0325</v>
      </c>
      <c r="H577" s="7">
        <v>4</v>
      </c>
      <c r="I577" s="7">
        <v>3</v>
      </c>
      <c r="J577" s="26">
        <v>4</v>
      </c>
      <c r="K577" s="26"/>
      <c r="L577" s="26" t="s">
        <v>350</v>
      </c>
      <c r="M577" s="26" t="s">
        <v>351</v>
      </c>
      <c r="N577" s="9" t="str">
        <f>LEFT(INDEX('2026_ST_JOSEPHS_SINGLE_LUNG'!$A$1:$E$30,MATCH($H577,'2026_ST_JOSEPHS_SINGLE_LUNG'!$A$1:$A$30),MATCH(I577,'2026_ST_JOSEPHS_SINGLE_LUNG'!$A$1:$D$1)),30)</f>
        <v xml:space="preserve">FOLLOW UP CARE - From day 31  </v>
      </c>
      <c r="O577" s="16">
        <v>30914</v>
      </c>
      <c r="P577" s="507">
        <f t="shared" si="156"/>
        <v>31919</v>
      </c>
    </row>
    <row r="578" spans="1:17">
      <c r="A578" s="1" t="e">
        <f ca="1">'2026_ST_JOSEPHS_SINGLE_LUNG'!$A$1</f>
        <v>#VALUE!</v>
      </c>
      <c r="B578" s="14" t="e">
        <f t="shared" ca="1" si="151"/>
        <v>#VALUE!</v>
      </c>
      <c r="C578" s="1" t="s">
        <v>379</v>
      </c>
      <c r="D578" s="4" t="e" cm="1">
        <f t="array" aca="1" ref="D578" ca="1">RIGHT(INDIRECT(ADDRESS(6,2,,,$A578)),6)</f>
        <v>#VALUE!</v>
      </c>
      <c r="E578" s="1" t="e" cm="1">
        <f t="array" aca="1" ref="E578" ca="1">RIGHT(INDIRECT(ADDRESS(4,2,,,$A578)),5)</f>
        <v>#VALUE!</v>
      </c>
      <c r="F578" s="22">
        <v>1.0335000000000001</v>
      </c>
      <c r="G578" s="22">
        <f t="shared" si="143"/>
        <v>1.0325</v>
      </c>
      <c r="H578" s="7">
        <v>5</v>
      </c>
      <c r="I578" s="7">
        <v>3</v>
      </c>
      <c r="J578" s="26">
        <v>4</v>
      </c>
      <c r="K578" s="26"/>
      <c r="L578" s="26" t="s">
        <v>350</v>
      </c>
      <c r="M578" s="26" t="s">
        <v>351</v>
      </c>
      <c r="N578" s="9" t="str">
        <f>LEFT(INDEX('2026_ST_JOSEPHS_SINGLE_LUNG'!$A$1:$E$30,MATCH($H578,'2026_ST_JOSEPHS_SINGLE_LUNG'!$A$1:$A$30),MATCH(I578,'2026_ST_JOSEPHS_SINGLE_LUNG'!$A$1:$D$1)),30)</f>
        <v xml:space="preserve">PER DIEM RATES for day 61+ of </v>
      </c>
      <c r="O578" s="16">
        <v>2474</v>
      </c>
      <c r="P578" s="507">
        <f t="shared" si="156"/>
        <v>2554</v>
      </c>
    </row>
    <row r="579" spans="1:17">
      <c r="A579" s="1" t="e">
        <f ca="1">'2026_ST_JOSEPHS_SINGLE_LUNG'!$A$1</f>
        <v>#VALUE!</v>
      </c>
      <c r="B579" s="14" t="e">
        <f t="shared" ca="1" si="151"/>
        <v>#VALUE!</v>
      </c>
      <c r="C579" s="1" t="s">
        <v>379</v>
      </c>
      <c r="D579" s="4" t="e" cm="1">
        <f t="array" aca="1" ref="D579" ca="1">RIGHT(INDIRECT(ADDRESS(6,2,,,$A579)),6)</f>
        <v>#VALUE!</v>
      </c>
      <c r="E579" s="1" t="e" cm="1">
        <f t="array" aca="1" ref="E579" ca="1">RIGHT(INDIRECT(ADDRESS(4,2,,,$A579)),5)</f>
        <v>#VALUE!</v>
      </c>
      <c r="F579" s="22">
        <v>1.0335000000000001</v>
      </c>
      <c r="G579" s="22">
        <f t="shared" si="143"/>
        <v>1.0325</v>
      </c>
      <c r="H579" s="7">
        <v>6</v>
      </c>
      <c r="I579" s="7">
        <v>3</v>
      </c>
      <c r="J579" s="26">
        <v>4</v>
      </c>
      <c r="K579" s="26"/>
      <c r="L579" s="26" t="s">
        <v>350</v>
      </c>
      <c r="M579" s="26" t="s">
        <v>351</v>
      </c>
      <c r="N579" s="9" t="str">
        <f>LEFT(INDEX('2026_ST_JOSEPHS_SINGLE_LUNG'!$A$1:$E$30,MATCH($H579,'2026_ST_JOSEPHS_SINGLE_LUNG'!$A$1:$A$30),MATCH(I579,'2026_ST_JOSEPHS_SINGLE_LUNG'!$A$1:$D$1)),30)</f>
        <v>Days 11+/61+ paid at the per d</v>
      </c>
      <c r="O579" s="16">
        <v>7263.18</v>
      </c>
      <c r="P579" s="509">
        <f>O579*$Q$2</f>
        <v>8014.1928120000002</v>
      </c>
      <c r="Q579" s="14" t="s">
        <v>352</v>
      </c>
    </row>
    <row r="580" spans="1:17">
      <c r="A580" s="1" t="e">
        <f ca="1">'2026_ST_JOSEPHS_DOUBLE_LUNG'!$A$1</f>
        <v>#VALUE!</v>
      </c>
      <c r="B580" s="14" t="e">
        <f t="shared" ca="1" si="151"/>
        <v>#VALUE!</v>
      </c>
      <c r="C580" s="1" t="s">
        <v>379</v>
      </c>
      <c r="D580" s="4" t="e" cm="1">
        <f t="array" aca="1" ref="D580" ca="1">RIGHT(INDIRECT(ADDRESS(6,2,,,$A580)),6)</f>
        <v>#VALUE!</v>
      </c>
      <c r="E580" s="1" t="e" cm="1">
        <f t="array" aca="1" ref="E580" ca="1">RIGHT(INDIRECT(ADDRESS(4,2,,,$A580)),5)</f>
        <v>#VALUE!</v>
      </c>
      <c r="F580" s="22">
        <v>1.0335000000000001</v>
      </c>
      <c r="G580" s="22">
        <f t="shared" si="143"/>
        <v>1.0325</v>
      </c>
      <c r="H580" s="7">
        <v>1</v>
      </c>
      <c r="I580" s="7">
        <v>3</v>
      </c>
      <c r="J580" s="26">
        <v>4</v>
      </c>
      <c r="K580" s="26"/>
      <c r="L580" s="26" t="s">
        <v>350</v>
      </c>
      <c r="M580" s="26" t="s">
        <v>351</v>
      </c>
      <c r="N580" s="9" t="str">
        <f>LEFT(INDEX('2026_ST_JOSEPHS_DOUBLE_LUNG'!$A$1:$E$30,MATCH($H580,'2026_ST_JOSEPHS_DOUBLE_LUNG'!$A$1:$A$30),MATCH(I580,'2026_ST_JOSEPHS_DOUBLE_LUNG'!$A$1:$D$1)),30)</f>
        <v>OUTPATIENT EVALUATION* - Initi</v>
      </c>
      <c r="O580" s="16">
        <v>10884</v>
      </c>
      <c r="P580" s="507">
        <f t="shared" ref="P580:P584" si="157">ROUND(O580*$G$2,0)</f>
        <v>11238</v>
      </c>
    </row>
    <row r="581" spans="1:17">
      <c r="A581" s="1" t="e">
        <f ca="1">'2026_ST_JOSEPHS_DOUBLE_LUNG'!$A$1</f>
        <v>#VALUE!</v>
      </c>
      <c r="B581" s="14" t="e">
        <f t="shared" ca="1" si="151"/>
        <v>#VALUE!</v>
      </c>
      <c r="C581" s="1" t="s">
        <v>379</v>
      </c>
      <c r="D581" s="4" t="e" cm="1">
        <f t="array" aca="1" ref="D581" ca="1">RIGHT(INDIRECT(ADDRESS(6,2,,,$A581)),6)</f>
        <v>#VALUE!</v>
      </c>
      <c r="E581" s="1" t="e" cm="1">
        <f t="array" aca="1" ref="E581" ca="1">RIGHT(INDIRECT(ADDRESS(4,2,,,$A581)),5)</f>
        <v>#VALUE!</v>
      </c>
      <c r="F581" s="22">
        <v>1.0335000000000001</v>
      </c>
      <c r="G581" s="22">
        <f t="shared" ref="G581:G644" si="158">$G$2</f>
        <v>1.0325</v>
      </c>
      <c r="H581" s="7">
        <v>2</v>
      </c>
      <c r="I581" s="7">
        <v>3</v>
      </c>
      <c r="J581" s="26">
        <v>4</v>
      </c>
      <c r="K581" s="26"/>
      <c r="L581" s="26" t="s">
        <v>350</v>
      </c>
      <c r="M581" s="26" t="s">
        <v>351</v>
      </c>
      <c r="N581" s="9" t="str">
        <f>LEFT(INDEX('2026_ST_JOSEPHS_DOUBLE_LUNG'!$A$1:$E$30,MATCH($H581,'2026_ST_JOSEPHS_DOUBLE_LUNG'!$A$1:$A$30),MATCH(I581,'2026_ST_JOSEPHS_DOUBLE_LUNG'!$A$1:$D$1)),30)</f>
        <v>PREP AND TRANSPLANT</v>
      </c>
      <c r="O581" s="16">
        <v>162314</v>
      </c>
      <c r="P581" s="507">
        <f t="shared" si="157"/>
        <v>167589</v>
      </c>
    </row>
    <row r="582" spans="1:17">
      <c r="A582" s="1" t="e">
        <f ca="1">'2026_ST_JOSEPHS_DOUBLE_LUNG'!$A$1</f>
        <v>#VALUE!</v>
      </c>
      <c r="B582" s="14" t="e">
        <f t="shared" ca="1" si="151"/>
        <v>#VALUE!</v>
      </c>
      <c r="C582" s="1" t="s">
        <v>379</v>
      </c>
      <c r="D582" s="4" t="e" cm="1">
        <f t="array" aca="1" ref="D582" ca="1">RIGHT(INDIRECT(ADDRESS(6,2,,,$A582)),6)</f>
        <v>#VALUE!</v>
      </c>
      <c r="E582" s="1" t="e" cm="1">
        <f t="array" aca="1" ref="E582" ca="1">RIGHT(INDIRECT(ADDRESS(4,2,,,$A582)),5)</f>
        <v>#VALUE!</v>
      </c>
      <c r="F582" s="22">
        <v>1.0335000000000001</v>
      </c>
      <c r="G582" s="22">
        <f t="shared" si="158"/>
        <v>1.0325</v>
      </c>
      <c r="H582" s="7">
        <v>3</v>
      </c>
      <c r="I582" s="7">
        <v>3</v>
      </c>
      <c r="J582" s="26">
        <v>4</v>
      </c>
      <c r="K582" s="26"/>
      <c r="L582" s="26" t="s">
        <v>350</v>
      </c>
      <c r="M582" s="26" t="s">
        <v>351</v>
      </c>
      <c r="N582" s="9" t="str">
        <f>LEFT(INDEX('2026_ST_JOSEPHS_DOUBLE_LUNG'!$A$1:$E$30,MATCH($H582,'2026_ST_JOSEPHS_DOUBLE_LUNG'!$A$1:$A$30),MATCH(I582,'2026_ST_JOSEPHS_DOUBLE_LUNG'!$A$1:$D$1)),30)</f>
        <v>FOLLOW UP CARE - From day 1 po</v>
      </c>
      <c r="O582" s="16">
        <v>123458</v>
      </c>
      <c r="P582" s="507">
        <f t="shared" si="157"/>
        <v>127470</v>
      </c>
    </row>
    <row r="583" spans="1:17">
      <c r="A583" s="1" t="e">
        <f ca="1">'2026_ST_JOSEPHS_DOUBLE_LUNG'!$A$1</f>
        <v>#VALUE!</v>
      </c>
      <c r="B583" s="14" t="e">
        <f t="shared" ca="1" si="151"/>
        <v>#VALUE!</v>
      </c>
      <c r="C583" s="1" t="s">
        <v>379</v>
      </c>
      <c r="D583" s="4" t="e" cm="1">
        <f t="array" aca="1" ref="D583" ca="1">RIGHT(INDIRECT(ADDRESS(6,2,,,$A583)),6)</f>
        <v>#VALUE!</v>
      </c>
      <c r="E583" s="1" t="e" cm="1">
        <f t="array" aca="1" ref="E583" ca="1">RIGHT(INDIRECT(ADDRESS(4,2,,,$A583)),5)</f>
        <v>#VALUE!</v>
      </c>
      <c r="F583" s="22">
        <v>1.0335000000000001</v>
      </c>
      <c r="G583" s="22">
        <f t="shared" si="158"/>
        <v>1.0325</v>
      </c>
      <c r="H583" s="7">
        <v>4</v>
      </c>
      <c r="I583" s="7">
        <v>3</v>
      </c>
      <c r="J583" s="26">
        <v>4</v>
      </c>
      <c r="K583" s="26"/>
      <c r="L583" s="26" t="s">
        <v>350</v>
      </c>
      <c r="M583" s="26" t="s">
        <v>351</v>
      </c>
      <c r="N583" s="9" t="str">
        <f>LEFT(INDEX('2026_ST_JOSEPHS_DOUBLE_LUNG'!$A$1:$E$30,MATCH($H583,'2026_ST_JOSEPHS_DOUBLE_LUNG'!$A$1:$A$30),MATCH(I583,'2026_ST_JOSEPHS_DOUBLE_LUNG'!$A$1:$D$1)),30)</f>
        <v xml:space="preserve">FOLLOW UP CARE - From day 31  </v>
      </c>
      <c r="O583" s="16">
        <v>26861</v>
      </c>
      <c r="P583" s="507">
        <f t="shared" si="157"/>
        <v>27734</v>
      </c>
    </row>
    <row r="584" spans="1:17">
      <c r="A584" s="1" t="e">
        <f ca="1">'2026_ST_JOSEPHS_DOUBLE_LUNG'!$A$1</f>
        <v>#VALUE!</v>
      </c>
      <c r="B584" s="14" t="e">
        <f t="shared" ca="1" si="151"/>
        <v>#VALUE!</v>
      </c>
      <c r="C584" s="1" t="s">
        <v>379</v>
      </c>
      <c r="D584" s="4" t="e" cm="1">
        <f t="array" aca="1" ref="D584" ca="1">RIGHT(INDIRECT(ADDRESS(6,2,,,$A584)),6)</f>
        <v>#VALUE!</v>
      </c>
      <c r="E584" s="1" t="e" cm="1">
        <f t="array" aca="1" ref="E584" ca="1">RIGHT(INDIRECT(ADDRESS(4,2,,,$A584)),5)</f>
        <v>#VALUE!</v>
      </c>
      <c r="F584" s="22">
        <v>1.0335000000000001</v>
      </c>
      <c r="G584" s="22">
        <f t="shared" si="158"/>
        <v>1.0325</v>
      </c>
      <c r="H584" s="7">
        <v>5</v>
      </c>
      <c r="I584" s="7">
        <v>3</v>
      </c>
      <c r="J584" s="26">
        <v>4</v>
      </c>
      <c r="K584" s="26"/>
      <c r="L584" s="26" t="s">
        <v>350</v>
      </c>
      <c r="M584" s="26" t="s">
        <v>351</v>
      </c>
      <c r="N584" s="9" t="str">
        <f>LEFT(INDEX('2026_ST_JOSEPHS_DOUBLE_LUNG'!$A$1:$E$30,MATCH($H584,'2026_ST_JOSEPHS_DOUBLE_LUNG'!$A$1:$A$30),MATCH(I584,'2026_ST_JOSEPHS_DOUBLE_LUNG'!$A$1:$D$1)),30)</f>
        <v xml:space="preserve">PER DIEM RATES for day 61+ of </v>
      </c>
      <c r="O584" s="16">
        <v>2474</v>
      </c>
      <c r="P584" s="507">
        <f t="shared" si="157"/>
        <v>2554</v>
      </c>
    </row>
    <row r="585" spans="1:17">
      <c r="A585" s="1" t="e">
        <f ca="1">'2026_ST_JOSEPHS_DOUBLE_LUNG'!$A$1</f>
        <v>#VALUE!</v>
      </c>
      <c r="B585" s="14" t="e">
        <f t="shared" ca="1" si="151"/>
        <v>#VALUE!</v>
      </c>
      <c r="C585" s="1" t="s">
        <v>379</v>
      </c>
      <c r="D585" s="4" t="e" cm="1">
        <f t="array" aca="1" ref="D585" ca="1">RIGHT(INDIRECT(ADDRESS(6,2,,,$A585)),6)</f>
        <v>#VALUE!</v>
      </c>
      <c r="E585" s="1" t="e" cm="1">
        <f t="array" aca="1" ref="E585" ca="1">RIGHT(INDIRECT(ADDRESS(4,2,,,$A585)),5)</f>
        <v>#VALUE!</v>
      </c>
      <c r="F585" s="22">
        <v>1.0335000000000001</v>
      </c>
      <c r="G585" s="22">
        <f t="shared" si="158"/>
        <v>1.0325</v>
      </c>
      <c r="H585" s="7">
        <v>6</v>
      </c>
      <c r="I585" s="7">
        <v>3</v>
      </c>
      <c r="J585" s="26">
        <v>4</v>
      </c>
      <c r="K585" s="26"/>
      <c r="L585" s="26" t="s">
        <v>350</v>
      </c>
      <c r="M585" s="26" t="s">
        <v>351</v>
      </c>
      <c r="N585" s="9" t="str">
        <f>LEFT(INDEX('2026_ST_JOSEPHS_DOUBLE_LUNG'!$A$1:$E$30,MATCH($H585,'2026_ST_JOSEPHS_DOUBLE_LUNG'!$A$1:$A$30),MATCH(I585,'2026_ST_JOSEPHS_DOUBLE_LUNG'!$A$1:$D$1)),30)</f>
        <v>Days 11+/61+ paid at the per d</v>
      </c>
      <c r="O585" s="16">
        <v>7263.18</v>
      </c>
      <c r="P585" s="509">
        <f>O585*$Q$2</f>
        <v>8014.1928120000002</v>
      </c>
      <c r="Q585" s="14" t="s">
        <v>352</v>
      </c>
    </row>
    <row r="586" spans="1:17">
      <c r="A586" s="1" t="e">
        <f ca="1">'2026_ST_JOES_SIMUL_CAD_LIV_KID'!$A$1</f>
        <v>#VALUE!</v>
      </c>
      <c r="B586" s="14" t="e">
        <f t="shared" ca="1" si="151"/>
        <v>#VALUE!</v>
      </c>
      <c r="C586" s="1" t="s">
        <v>379</v>
      </c>
      <c r="D586" s="4" t="e" cm="1">
        <f t="array" aca="1" ref="D586" ca="1">RIGHT(INDIRECT(ADDRESS(6,2,,,$A586)),6)</f>
        <v>#VALUE!</v>
      </c>
      <c r="E586" s="1" t="e" cm="1">
        <f t="array" aca="1" ref="E586" ca="1">RIGHT(INDIRECT(ADDRESS(4,2,,,$A586)),5)</f>
        <v>#VALUE!</v>
      </c>
      <c r="F586" s="22">
        <v>1.0335000000000001</v>
      </c>
      <c r="G586" s="22">
        <f t="shared" si="158"/>
        <v>1.0325</v>
      </c>
      <c r="H586" s="7">
        <v>1</v>
      </c>
      <c r="I586" s="7">
        <v>3</v>
      </c>
      <c r="J586" s="26">
        <v>4</v>
      </c>
      <c r="K586" s="26"/>
      <c r="L586" s="26" t="s">
        <v>350</v>
      </c>
      <c r="M586" s="26" t="s">
        <v>351</v>
      </c>
      <c r="N586" s="9" t="str">
        <f>LEFT(INDEX('2026_ST_JOES_SIMUL_CAD_LIV_KID'!$A$1:$E$30,MATCH($H586,'2026_ST_JOES_SIMUL_CAD_LIV_KID'!$A$1:$A$30),MATCH(I586,'2026_ST_JOES_SIMUL_CAD_LIV_KID'!$A$1:$D$1)),30)</f>
        <v>OUTPATIENT EVALUATION* - Initi</v>
      </c>
      <c r="O586" s="16">
        <v>8011</v>
      </c>
      <c r="P586" s="507">
        <f t="shared" ref="P586:P590" si="159">ROUND(O586*$G$2,0)</f>
        <v>8271</v>
      </c>
    </row>
    <row r="587" spans="1:17">
      <c r="A587" s="1" t="e">
        <f ca="1">'2026_ST_JOES_SIMUL_CAD_LIV_KID'!$A$1</f>
        <v>#VALUE!</v>
      </c>
      <c r="B587" s="14" t="e">
        <f t="shared" ca="1" si="151"/>
        <v>#VALUE!</v>
      </c>
      <c r="C587" s="1" t="s">
        <v>379</v>
      </c>
      <c r="D587" s="4" t="e" cm="1">
        <f t="array" aca="1" ref="D587" ca="1">RIGHT(INDIRECT(ADDRESS(6,2,,,$A587)),6)</f>
        <v>#VALUE!</v>
      </c>
      <c r="E587" s="1" t="e" cm="1">
        <f t="array" aca="1" ref="E587" ca="1">RIGHT(INDIRECT(ADDRESS(4,2,,,$A587)),5)</f>
        <v>#VALUE!</v>
      </c>
      <c r="F587" s="22">
        <v>1.0335000000000001</v>
      </c>
      <c r="G587" s="22">
        <f t="shared" si="158"/>
        <v>1.0325</v>
      </c>
      <c r="H587" s="7">
        <v>2</v>
      </c>
      <c r="I587" s="7">
        <v>3</v>
      </c>
      <c r="J587" s="26">
        <v>4</v>
      </c>
      <c r="K587" s="26"/>
      <c r="L587" s="26" t="s">
        <v>350</v>
      </c>
      <c r="M587" s="26" t="s">
        <v>351</v>
      </c>
      <c r="N587" s="9" t="str">
        <f>LEFT(INDEX('2026_ST_JOES_SIMUL_CAD_LIV_KID'!$A$1:$E$30,MATCH($H587,'2026_ST_JOES_SIMUL_CAD_LIV_KID'!$A$1:$A$30),MATCH(I587,'2026_ST_JOES_SIMUL_CAD_LIV_KID'!$A$1:$D$1)),30)</f>
        <v>PREP AND TRANSPLANT</v>
      </c>
      <c r="O587" s="16">
        <v>217604</v>
      </c>
      <c r="P587" s="507">
        <f t="shared" si="159"/>
        <v>224676</v>
      </c>
    </row>
    <row r="588" spans="1:17">
      <c r="A588" s="1" t="e">
        <f ca="1">'2026_ST_JOES_SIMUL_CAD_LIV_KID'!$A$1</f>
        <v>#VALUE!</v>
      </c>
      <c r="B588" s="14" t="e">
        <f t="shared" ca="1" si="151"/>
        <v>#VALUE!</v>
      </c>
      <c r="C588" s="1" t="s">
        <v>379</v>
      </c>
      <c r="D588" s="4" t="e" cm="1">
        <f t="array" aca="1" ref="D588" ca="1">RIGHT(INDIRECT(ADDRESS(6,2,,,$A588)),6)</f>
        <v>#VALUE!</v>
      </c>
      <c r="E588" s="1" t="e" cm="1">
        <f t="array" aca="1" ref="E588" ca="1">RIGHT(INDIRECT(ADDRESS(4,2,,,$A588)),5)</f>
        <v>#VALUE!</v>
      </c>
      <c r="F588" s="22">
        <v>1.0335000000000001</v>
      </c>
      <c r="G588" s="22">
        <f t="shared" si="158"/>
        <v>1.0325</v>
      </c>
      <c r="H588" s="7">
        <v>3</v>
      </c>
      <c r="I588" s="7">
        <v>3</v>
      </c>
      <c r="J588" s="26">
        <v>4</v>
      </c>
      <c r="K588" s="26"/>
      <c r="L588" s="26" t="s">
        <v>350</v>
      </c>
      <c r="M588" s="26" t="s">
        <v>351</v>
      </c>
      <c r="N588" s="9" t="str">
        <f>LEFT(INDEX('2026_ST_JOES_SIMUL_CAD_LIV_KID'!$A$1:$E$30,MATCH($H588,'2026_ST_JOES_SIMUL_CAD_LIV_KID'!$A$1:$A$30),MATCH(I588,'2026_ST_JOES_SIMUL_CAD_LIV_KID'!$A$1:$D$1)),30)</f>
        <v>FOLLOW UP CARE - From day 1 po</v>
      </c>
      <c r="O588" s="16">
        <v>117813</v>
      </c>
      <c r="P588" s="507">
        <f t="shared" si="159"/>
        <v>121642</v>
      </c>
    </row>
    <row r="589" spans="1:17">
      <c r="A589" s="1" t="e">
        <f ca="1">'2026_ST_JOES_SIMUL_CAD_LIV_KID'!$A$1</f>
        <v>#VALUE!</v>
      </c>
      <c r="B589" s="14" t="e">
        <f t="shared" ca="1" si="151"/>
        <v>#VALUE!</v>
      </c>
      <c r="C589" s="1" t="s">
        <v>379</v>
      </c>
      <c r="D589" s="4" t="e" cm="1">
        <f t="array" aca="1" ref="D589" ca="1">RIGHT(INDIRECT(ADDRESS(6,2,,,$A589)),6)</f>
        <v>#VALUE!</v>
      </c>
      <c r="E589" s="1" t="e" cm="1">
        <f t="array" aca="1" ref="E589" ca="1">RIGHT(INDIRECT(ADDRESS(4,2,,,$A589)),5)</f>
        <v>#VALUE!</v>
      </c>
      <c r="F589" s="22">
        <v>1.0335000000000001</v>
      </c>
      <c r="G589" s="22">
        <f t="shared" si="158"/>
        <v>1.0325</v>
      </c>
      <c r="H589" s="7">
        <v>4</v>
      </c>
      <c r="I589" s="7">
        <v>3</v>
      </c>
      <c r="J589" s="26">
        <v>4</v>
      </c>
      <c r="K589" s="26"/>
      <c r="L589" s="26" t="s">
        <v>350</v>
      </c>
      <c r="M589" s="26" t="s">
        <v>351</v>
      </c>
      <c r="N589" s="9" t="str">
        <f>LEFT(INDEX('2026_ST_JOES_SIMUL_CAD_LIV_KID'!$A$1:$E$30,MATCH($H589,'2026_ST_JOES_SIMUL_CAD_LIV_KID'!$A$1:$A$30),MATCH(I589,'2026_ST_JOES_SIMUL_CAD_LIV_KID'!$A$1:$D$1)),30)</f>
        <v xml:space="preserve">FOLLOW UP CARE - From day 31  </v>
      </c>
      <c r="O589" s="16">
        <v>42696</v>
      </c>
      <c r="P589" s="507">
        <f t="shared" si="159"/>
        <v>44084</v>
      </c>
    </row>
    <row r="590" spans="1:17">
      <c r="A590" s="1" t="e">
        <f ca="1">'2026_ST_JOES_SIMUL_CAD_LIV_KID'!$A$1</f>
        <v>#VALUE!</v>
      </c>
      <c r="B590" s="14" t="e">
        <f t="shared" ca="1" si="151"/>
        <v>#VALUE!</v>
      </c>
      <c r="C590" s="1" t="s">
        <v>379</v>
      </c>
      <c r="D590" s="4" t="e" cm="1">
        <f t="array" aca="1" ref="D590" ca="1">RIGHT(INDIRECT(ADDRESS(6,2,,,$A590)),6)</f>
        <v>#VALUE!</v>
      </c>
      <c r="E590" s="1" t="e" cm="1">
        <f t="array" aca="1" ref="E590" ca="1">RIGHT(INDIRECT(ADDRESS(4,2,,,$A590)),5)</f>
        <v>#VALUE!</v>
      </c>
      <c r="F590" s="22">
        <v>1.0335000000000001</v>
      </c>
      <c r="G590" s="22">
        <f t="shared" si="158"/>
        <v>1.0325</v>
      </c>
      <c r="H590" s="7">
        <v>5</v>
      </c>
      <c r="I590" s="7">
        <v>3</v>
      </c>
      <c r="J590" s="26">
        <v>4</v>
      </c>
      <c r="K590" s="26"/>
      <c r="L590" s="26" t="s">
        <v>350</v>
      </c>
      <c r="M590" s="26" t="s">
        <v>351</v>
      </c>
      <c r="N590" s="9" t="str">
        <f>LEFT(INDEX('2026_ST_JOES_SIMUL_CAD_LIV_KID'!$A$1:$E$30,MATCH($H590,'2026_ST_JOES_SIMUL_CAD_LIV_KID'!$A$1:$A$30),MATCH(I590,'2026_ST_JOES_SIMUL_CAD_LIV_KID'!$A$1:$D$1)),30)</f>
        <v xml:space="preserve">PER DIEM RATES for day 61+ of </v>
      </c>
      <c r="O590" s="16">
        <v>2474</v>
      </c>
      <c r="P590" s="507">
        <f t="shared" si="159"/>
        <v>2554</v>
      </c>
    </row>
    <row r="591" spans="1:17">
      <c r="A591" s="1" t="e">
        <f ca="1">'2026_ST_JOES_SIMUL_CAD_LIV_KID'!$A$1</f>
        <v>#VALUE!</v>
      </c>
      <c r="B591" s="14" t="e">
        <f t="shared" ca="1" si="151"/>
        <v>#VALUE!</v>
      </c>
      <c r="C591" s="1" t="s">
        <v>379</v>
      </c>
      <c r="D591" s="4" t="e" cm="1">
        <f t="array" aca="1" ref="D591" ca="1">RIGHT(INDIRECT(ADDRESS(6,2,,,$A591)),6)</f>
        <v>#VALUE!</v>
      </c>
      <c r="E591" s="1" t="e" cm="1">
        <f t="array" aca="1" ref="E591" ca="1">RIGHT(INDIRECT(ADDRESS(4,2,,,$A591)),5)</f>
        <v>#VALUE!</v>
      </c>
      <c r="F591" s="22">
        <v>1.0335000000000001</v>
      </c>
      <c r="G591" s="22">
        <f t="shared" si="158"/>
        <v>1.0325</v>
      </c>
      <c r="H591" s="7">
        <v>6</v>
      </c>
      <c r="I591" s="7">
        <v>3</v>
      </c>
      <c r="J591" s="26">
        <v>4</v>
      </c>
      <c r="K591" s="26"/>
      <c r="L591" s="26" t="s">
        <v>350</v>
      </c>
      <c r="M591" s="26" t="s">
        <v>351</v>
      </c>
      <c r="N591" s="9" t="str">
        <f>LEFT(INDEX('2026_ST_JOES_SIMUL_CAD_LIV_KID'!$A$1:$E$30,MATCH($H591,'2026_ST_JOES_SIMUL_CAD_LIV_KID'!$A$1:$A$30),MATCH(I591,'2026_ST_JOES_SIMUL_CAD_LIV_KID'!$A$1:$D$1)),30)</f>
        <v>Days 11+/61+ paid at the per d</v>
      </c>
      <c r="O591" s="16">
        <v>7263.18</v>
      </c>
      <c r="P591" s="509">
        <f>O591*$Q$2</f>
        <v>8014.1928120000002</v>
      </c>
      <c r="Q591" s="14" t="s">
        <v>352</v>
      </c>
    </row>
    <row r="592" spans="1:17">
      <c r="A592" s="1" t="e">
        <f ca="1">'2026_ST_JOSEPHS_CAD_LIVER_ADULT'!$A$1</f>
        <v>#VALUE!</v>
      </c>
      <c r="B592" s="14" t="e">
        <f t="shared" ca="1" si="151"/>
        <v>#VALUE!</v>
      </c>
      <c r="C592" s="1" t="s">
        <v>379</v>
      </c>
      <c r="D592" s="4" t="e" cm="1">
        <f t="array" aca="1" ref="D592" ca="1">RIGHT(INDIRECT(ADDRESS(6,2,,,$A592)),6)</f>
        <v>#VALUE!</v>
      </c>
      <c r="E592" s="1" t="e" cm="1">
        <f t="array" aca="1" ref="E592" ca="1">RIGHT(INDIRECT(ADDRESS(4,2,,,$A592)),5)</f>
        <v>#VALUE!</v>
      </c>
      <c r="F592" s="22">
        <v>1.0335000000000001</v>
      </c>
      <c r="G592" s="22">
        <f t="shared" si="158"/>
        <v>1.0325</v>
      </c>
      <c r="H592" s="7">
        <v>1</v>
      </c>
      <c r="I592" s="7">
        <v>3</v>
      </c>
      <c r="J592" s="26">
        <v>4</v>
      </c>
      <c r="K592" s="26"/>
      <c r="L592" s="26" t="s">
        <v>350</v>
      </c>
      <c r="M592" s="26" t="s">
        <v>351</v>
      </c>
      <c r="N592" s="9" t="str">
        <f>LEFT(INDEX('2026_ST_JOSEPHS_CAD_LIVER_ADULT'!$A$1:$E$30,MATCH($H592,'2026_ST_JOSEPHS_CAD_LIVER_ADULT'!$A$1:$A$30),MATCH(I592,'2026_ST_JOSEPHS_CAD_LIVER_ADULT'!$A$1:$D$1)),30)</f>
        <v>OUTPATIENT EVALUATION* - Initi</v>
      </c>
      <c r="O592" s="16">
        <v>7765</v>
      </c>
      <c r="P592" s="507">
        <f t="shared" ref="P592:P596" si="160">ROUND(O592*$G$2,0)</f>
        <v>8017</v>
      </c>
    </row>
    <row r="593" spans="1:17">
      <c r="A593" s="1" t="e">
        <f ca="1">'2026_ST_JOSEPHS_CAD_LIVER_ADULT'!$A$1</f>
        <v>#VALUE!</v>
      </c>
      <c r="B593" s="14" t="e">
        <f t="shared" ca="1" si="151"/>
        <v>#VALUE!</v>
      </c>
      <c r="C593" s="1" t="s">
        <v>379</v>
      </c>
      <c r="D593" s="4" t="e" cm="1">
        <f t="array" aca="1" ref="D593" ca="1">RIGHT(INDIRECT(ADDRESS(6,2,,,$A593)),6)</f>
        <v>#VALUE!</v>
      </c>
      <c r="E593" s="1" t="e" cm="1">
        <f t="array" aca="1" ref="E593" ca="1">RIGHT(INDIRECT(ADDRESS(4,2,,,$A593)),5)</f>
        <v>#VALUE!</v>
      </c>
      <c r="F593" s="22">
        <v>1.0335000000000001</v>
      </c>
      <c r="G593" s="22">
        <f t="shared" si="158"/>
        <v>1.0325</v>
      </c>
      <c r="H593" s="7">
        <v>2</v>
      </c>
      <c r="I593" s="7">
        <v>3</v>
      </c>
      <c r="J593" s="26">
        <v>4</v>
      </c>
      <c r="K593" s="26"/>
      <c r="L593" s="26" t="s">
        <v>350</v>
      </c>
      <c r="M593" s="26" t="s">
        <v>351</v>
      </c>
      <c r="N593" s="9" t="str">
        <f>LEFT(INDEX('2026_ST_JOSEPHS_CAD_LIVER_ADULT'!$A$1:$E$30,MATCH($H593,'2026_ST_JOSEPHS_CAD_LIVER_ADULT'!$A$1:$A$30),MATCH(I593,'2026_ST_JOSEPHS_CAD_LIVER_ADULT'!$A$1:$D$1)),30)</f>
        <v>PREP AND TRANSPLANT</v>
      </c>
      <c r="O593" s="16">
        <v>159930</v>
      </c>
      <c r="P593" s="507">
        <f t="shared" si="160"/>
        <v>165128</v>
      </c>
    </row>
    <row r="594" spans="1:17">
      <c r="A594" s="1" t="e">
        <f ca="1">'2026_ST_JOSEPHS_CAD_LIVER_ADULT'!$A$1</f>
        <v>#VALUE!</v>
      </c>
      <c r="B594" s="14" t="e">
        <f t="shared" ca="1" si="151"/>
        <v>#VALUE!</v>
      </c>
      <c r="C594" s="1" t="s">
        <v>379</v>
      </c>
      <c r="D594" s="4" t="e" cm="1">
        <f t="array" aca="1" ref="D594" ca="1">RIGHT(INDIRECT(ADDRESS(6,2,,,$A594)),6)</f>
        <v>#VALUE!</v>
      </c>
      <c r="E594" s="1" t="e" cm="1">
        <f t="array" aca="1" ref="E594" ca="1">RIGHT(INDIRECT(ADDRESS(4,2,,,$A594)),5)</f>
        <v>#VALUE!</v>
      </c>
      <c r="F594" s="22">
        <v>1.0335000000000001</v>
      </c>
      <c r="G594" s="22">
        <f t="shared" si="158"/>
        <v>1.0325</v>
      </c>
      <c r="H594" s="7">
        <v>3</v>
      </c>
      <c r="I594" s="7">
        <v>3</v>
      </c>
      <c r="J594" s="26">
        <v>4</v>
      </c>
      <c r="K594" s="26"/>
      <c r="L594" s="26" t="s">
        <v>350</v>
      </c>
      <c r="M594" s="26" t="s">
        <v>351</v>
      </c>
      <c r="N594" s="9" t="str">
        <f>LEFT(INDEX('2026_ST_JOSEPHS_CAD_LIVER_ADULT'!$A$1:$E$30,MATCH($H594,'2026_ST_JOSEPHS_CAD_LIVER_ADULT'!$A$1:$A$30),MATCH(I594,'2026_ST_JOSEPHS_CAD_LIVER_ADULT'!$A$1:$D$1)),30)</f>
        <v>FOLLOW UP CARE - From day 1 po</v>
      </c>
      <c r="O594" s="16">
        <v>117813</v>
      </c>
      <c r="P594" s="507">
        <f t="shared" si="160"/>
        <v>121642</v>
      </c>
    </row>
    <row r="595" spans="1:17">
      <c r="A595" s="1" t="e">
        <f ca="1">'2026_ST_JOSEPHS_CAD_LIVER_ADULT'!$A$1</f>
        <v>#VALUE!</v>
      </c>
      <c r="B595" s="14" t="e">
        <f t="shared" ca="1" si="151"/>
        <v>#VALUE!</v>
      </c>
      <c r="C595" s="1" t="s">
        <v>379</v>
      </c>
      <c r="D595" s="4" t="e" cm="1">
        <f t="array" aca="1" ref="D595" ca="1">RIGHT(INDIRECT(ADDRESS(6,2,,,$A595)),6)</f>
        <v>#VALUE!</v>
      </c>
      <c r="E595" s="1" t="e" cm="1">
        <f t="array" aca="1" ref="E595" ca="1">RIGHT(INDIRECT(ADDRESS(4,2,,,$A595)),5)</f>
        <v>#VALUE!</v>
      </c>
      <c r="F595" s="22">
        <v>1.0335000000000001</v>
      </c>
      <c r="G595" s="22">
        <f t="shared" si="158"/>
        <v>1.0325</v>
      </c>
      <c r="H595" s="7">
        <v>4</v>
      </c>
      <c r="I595" s="7">
        <v>3</v>
      </c>
      <c r="J595" s="26">
        <v>4</v>
      </c>
      <c r="K595" s="26"/>
      <c r="L595" s="26" t="s">
        <v>350</v>
      </c>
      <c r="M595" s="26" t="s">
        <v>351</v>
      </c>
      <c r="N595" s="9" t="str">
        <f>LEFT(INDEX('2026_ST_JOSEPHS_CAD_LIVER_ADULT'!$A$1:$E$30,MATCH($H595,'2026_ST_JOSEPHS_CAD_LIVER_ADULT'!$A$1:$A$30),MATCH(I595,'2026_ST_JOSEPHS_CAD_LIVER_ADULT'!$A$1:$D$1)),30)</f>
        <v xml:space="preserve">FOLLOW UP CARE - From day 31  </v>
      </c>
      <c r="O595" s="16">
        <v>40651</v>
      </c>
      <c r="P595" s="507">
        <f t="shared" si="160"/>
        <v>41972</v>
      </c>
    </row>
    <row r="596" spans="1:17">
      <c r="A596" s="1" t="e">
        <f ca="1">'2026_ST_JOSEPHS_CAD_LIVER_ADULT'!$A$1</f>
        <v>#VALUE!</v>
      </c>
      <c r="B596" s="14" t="e">
        <f t="shared" ca="1" si="151"/>
        <v>#VALUE!</v>
      </c>
      <c r="C596" s="1" t="s">
        <v>379</v>
      </c>
      <c r="D596" s="4" t="e" cm="1">
        <f t="array" aca="1" ref="D596" ca="1">RIGHT(INDIRECT(ADDRESS(6,2,,,$A596)),6)</f>
        <v>#VALUE!</v>
      </c>
      <c r="E596" s="1" t="e" cm="1">
        <f t="array" aca="1" ref="E596" ca="1">RIGHT(INDIRECT(ADDRESS(4,2,,,$A596)),5)</f>
        <v>#VALUE!</v>
      </c>
      <c r="F596" s="22">
        <v>1.0335000000000001</v>
      </c>
      <c r="G596" s="22">
        <f t="shared" si="158"/>
        <v>1.0325</v>
      </c>
      <c r="H596" s="7">
        <v>5</v>
      </c>
      <c r="I596" s="7">
        <v>3</v>
      </c>
      <c r="J596" s="26">
        <v>4</v>
      </c>
      <c r="K596" s="26"/>
      <c r="L596" s="26" t="s">
        <v>350</v>
      </c>
      <c r="M596" s="26" t="s">
        <v>351</v>
      </c>
      <c r="N596" s="9" t="str">
        <f>LEFT(INDEX('2026_ST_JOSEPHS_CAD_LIVER_ADULT'!$A$1:$E$30,MATCH($H596,'2026_ST_JOSEPHS_CAD_LIVER_ADULT'!$A$1:$A$30),MATCH(I596,'2026_ST_JOSEPHS_CAD_LIVER_ADULT'!$A$1:$D$1)),30)</f>
        <v xml:space="preserve">PER DIEM RATES for day 61+ of </v>
      </c>
      <c r="O596" s="16">
        <v>2474</v>
      </c>
      <c r="P596" s="507">
        <f t="shared" si="160"/>
        <v>2554</v>
      </c>
    </row>
    <row r="597" spans="1:17">
      <c r="A597" s="1" t="e">
        <f ca="1">'2026_ST_JOSEPHS_CAD_LIVER_ADULT'!$A$1</f>
        <v>#VALUE!</v>
      </c>
      <c r="B597" s="14" t="e">
        <f t="shared" ca="1" si="151"/>
        <v>#VALUE!</v>
      </c>
      <c r="C597" s="1" t="s">
        <v>379</v>
      </c>
      <c r="D597" s="4" t="e" cm="1">
        <f t="array" aca="1" ref="D597" ca="1">RIGHT(INDIRECT(ADDRESS(6,2,,,$A597)),6)</f>
        <v>#VALUE!</v>
      </c>
      <c r="E597" s="1" t="e" cm="1">
        <f t="array" aca="1" ref="E597" ca="1">RIGHT(INDIRECT(ADDRESS(4,2,,,$A597)),5)</f>
        <v>#VALUE!</v>
      </c>
      <c r="F597" s="22">
        <v>1.0335000000000001</v>
      </c>
      <c r="G597" s="22">
        <f t="shared" si="158"/>
        <v>1.0325</v>
      </c>
      <c r="H597" s="7">
        <v>6</v>
      </c>
      <c r="I597" s="7">
        <v>3</v>
      </c>
      <c r="J597" s="26">
        <v>4</v>
      </c>
      <c r="K597" s="26"/>
      <c r="L597" s="26" t="s">
        <v>350</v>
      </c>
      <c r="M597" s="26" t="s">
        <v>351</v>
      </c>
      <c r="N597" s="9" t="str">
        <f>LEFT(INDEX('2026_ST_JOSEPHS_CAD_LIVER_ADULT'!$A$1:$E$30,MATCH($H597,'2026_ST_JOSEPHS_CAD_LIVER_ADULT'!$A$1:$A$30),MATCH(I597,'2026_ST_JOSEPHS_CAD_LIVER_ADULT'!$A$1:$D$1)),30)</f>
        <v>Days 11+/61+ paid at the per d</v>
      </c>
      <c r="O597" s="16">
        <v>7263.18</v>
      </c>
      <c r="P597" s="509">
        <f>O597*$Q$2</f>
        <v>8014.1928120000002</v>
      </c>
      <c r="Q597" s="14" t="s">
        <v>352</v>
      </c>
    </row>
    <row r="598" spans="1:17">
      <c r="A598" s="1" t="e">
        <f ca="1">'2026_ST_JOSEPHS_CAD_KIDNEY'!$A$1</f>
        <v>#VALUE!</v>
      </c>
      <c r="B598" s="14" t="e">
        <f t="shared" ca="1" si="151"/>
        <v>#VALUE!</v>
      </c>
      <c r="C598" s="1" t="s">
        <v>379</v>
      </c>
      <c r="D598" s="4" t="e" cm="1">
        <f t="array" aca="1" ref="D598" ca="1">RIGHT(INDIRECT(ADDRESS(6,2,,,$A598)),6)</f>
        <v>#VALUE!</v>
      </c>
      <c r="E598" s="1" t="e" cm="1">
        <f t="array" aca="1" ref="E598" ca="1">RIGHT(INDIRECT(ADDRESS(4,2,,,$A598)),5)</f>
        <v>#VALUE!</v>
      </c>
      <c r="F598" s="22">
        <v>1.0335000000000001</v>
      </c>
      <c r="G598" s="22">
        <f t="shared" si="158"/>
        <v>1.0325</v>
      </c>
      <c r="H598" s="7">
        <v>1</v>
      </c>
      <c r="I598" s="7">
        <v>3</v>
      </c>
      <c r="J598" s="26">
        <v>4</v>
      </c>
      <c r="K598" s="26"/>
      <c r="L598" s="26" t="s">
        <v>350</v>
      </c>
      <c r="M598" s="26" t="s">
        <v>351</v>
      </c>
      <c r="N598" s="9" t="str">
        <f>LEFT(INDEX('2026_ST_JOSEPHS_CAD_KIDNEY'!$A$1:$E$30,MATCH($H598,'2026_ST_JOSEPHS_CAD_KIDNEY'!$A$1:$A$30),MATCH(I598,'2026_ST_JOSEPHS_CAD_KIDNEY'!$A$1:$D$1)),30)</f>
        <v>OUTPATIENT EVALUATION* - Initi</v>
      </c>
      <c r="O598" s="16">
        <v>5160</v>
      </c>
      <c r="P598" s="507">
        <f t="shared" ref="P598:P605" si="161">ROUND(O598*$G$2,0)</f>
        <v>5328</v>
      </c>
    </row>
    <row r="599" spans="1:17">
      <c r="A599" s="1" t="e">
        <f ca="1">'2026_ST_JOSEPHS_CAD_KIDNEY'!$A$1</f>
        <v>#VALUE!</v>
      </c>
      <c r="B599" s="14" t="e">
        <f t="shared" ca="1" si="151"/>
        <v>#VALUE!</v>
      </c>
      <c r="C599" s="1" t="s">
        <v>379</v>
      </c>
      <c r="D599" s="4" t="e" cm="1">
        <f t="array" aca="1" ref="D599" ca="1">RIGHT(INDIRECT(ADDRESS(6,2,,,$A599)),6)</f>
        <v>#VALUE!</v>
      </c>
      <c r="E599" s="1" t="e" cm="1">
        <f t="array" aca="1" ref="E599" ca="1">RIGHT(INDIRECT(ADDRESS(4,2,,,$A599)),5)</f>
        <v>#VALUE!</v>
      </c>
      <c r="F599" s="22">
        <v>1.0335000000000001</v>
      </c>
      <c r="G599" s="22">
        <f t="shared" si="158"/>
        <v>1.0325</v>
      </c>
      <c r="H599" s="7">
        <v>2</v>
      </c>
      <c r="I599" s="7">
        <v>3</v>
      </c>
      <c r="J599" s="26">
        <v>4</v>
      </c>
      <c r="K599" s="26"/>
      <c r="L599" s="26" t="s">
        <v>350</v>
      </c>
      <c r="M599" s="26" t="s">
        <v>351</v>
      </c>
      <c r="N599" s="9" t="str">
        <f>LEFT(INDEX('2026_ST_JOSEPHS_CAD_KIDNEY'!$A$1:$E$30,MATCH($H599,'2026_ST_JOSEPHS_CAD_KIDNEY'!$A$1:$A$30),MATCH(I599,'2026_ST_JOSEPHS_CAD_KIDNEY'!$A$1:$D$1)),30)</f>
        <v xml:space="preserve">PREP AND TRANSPLANT UP TO AND </v>
      </c>
      <c r="O599" s="16">
        <v>122190</v>
      </c>
      <c r="P599" s="507">
        <f t="shared" si="161"/>
        <v>126161</v>
      </c>
    </row>
    <row r="600" spans="1:17">
      <c r="A600" s="1" t="e">
        <f ca="1">'2026_ST_JOSEPHS_CAD_KIDNEY'!$A$1</f>
        <v>#VALUE!</v>
      </c>
      <c r="B600" s="14" t="e">
        <f t="shared" ca="1" si="151"/>
        <v>#VALUE!</v>
      </c>
      <c r="C600" s="1" t="s">
        <v>379</v>
      </c>
      <c r="D600" s="4" t="e" cm="1">
        <f t="array" aca="1" ref="D600" ca="1">RIGHT(INDIRECT(ADDRESS(6,2,,,$A600)),6)</f>
        <v>#VALUE!</v>
      </c>
      <c r="E600" s="1" t="e" cm="1">
        <f t="array" aca="1" ref="E600" ca="1">RIGHT(INDIRECT(ADDRESS(4,2,,,$A600)),5)</f>
        <v>#VALUE!</v>
      </c>
      <c r="F600" s="22">
        <v>1.0335000000000001</v>
      </c>
      <c r="G600" s="22">
        <f t="shared" si="158"/>
        <v>1.0325</v>
      </c>
      <c r="H600" s="7">
        <v>3</v>
      </c>
      <c r="I600" s="7">
        <v>3</v>
      </c>
      <c r="J600" s="26">
        <v>4</v>
      </c>
      <c r="K600" s="26"/>
      <c r="L600" s="26" t="s">
        <v>350</v>
      </c>
      <c r="M600" s="26" t="s">
        <v>351</v>
      </c>
      <c r="N600" s="9" t="str">
        <f>LEFT(INDEX('2026_ST_JOSEPHS_CAD_KIDNEY'!$A$1:$E$30,MATCH($H600,'2026_ST_JOSEPHS_CAD_KIDNEY'!$A$1:$A$30),MATCH(I600,'2026_ST_JOSEPHS_CAD_KIDNEY'!$A$1:$D$1)),30)</f>
        <v xml:space="preserve">PER DIEM RATES for day 61+ of </v>
      </c>
      <c r="O600" s="16">
        <v>2474</v>
      </c>
      <c r="P600" s="507">
        <f t="shared" si="161"/>
        <v>2554</v>
      </c>
    </row>
    <row r="601" spans="1:17">
      <c r="A601" s="1" t="e">
        <f ca="1">'2026_ST_JOSEPHS_CAD_KIDNEY'!$A$1</f>
        <v>#VALUE!</v>
      </c>
      <c r="B601" s="14" t="e">
        <f t="shared" ca="1" si="151"/>
        <v>#VALUE!</v>
      </c>
      <c r="C601" s="1" t="s">
        <v>379</v>
      </c>
      <c r="D601" s="4" t="e" cm="1">
        <f t="array" aca="1" ref="D601" ca="1">RIGHT(INDIRECT(ADDRESS(6,2,,,$A601)),6)</f>
        <v>#VALUE!</v>
      </c>
      <c r="E601" s="1" t="e" cm="1">
        <f t="array" aca="1" ref="E601" ca="1">RIGHT(INDIRECT(ADDRESS(4,2,,,$A601)),5)</f>
        <v>#VALUE!</v>
      </c>
      <c r="F601" s="22">
        <v>1.0335000000000001</v>
      </c>
      <c r="G601" s="22">
        <f t="shared" si="158"/>
        <v>1.0325</v>
      </c>
      <c r="H601" s="7">
        <v>4</v>
      </c>
      <c r="I601" s="7">
        <v>3</v>
      </c>
      <c r="J601" s="26">
        <v>4</v>
      </c>
      <c r="K601" s="26"/>
      <c r="L601" s="26" t="s">
        <v>350</v>
      </c>
      <c r="M601" s="26" t="s">
        <v>351</v>
      </c>
      <c r="N601" s="9" t="str">
        <f>LEFT(INDEX('2026_ST_JOSEPHS_CAD_KIDNEY'!$A$1:$E$30,MATCH($H601,'2026_ST_JOSEPHS_CAD_KIDNEY'!$A$1:$A$30),MATCH(I601,'2026_ST_JOSEPHS_CAD_KIDNEY'!$A$1:$D$1)),30)</f>
        <v>Days 11+/61+ paid at the per d</v>
      </c>
      <c r="O601" s="16">
        <v>7263.18</v>
      </c>
      <c r="P601" s="509">
        <f>O601*$Q$2</f>
        <v>8014.1928120000002</v>
      </c>
      <c r="Q601" s="14" t="s">
        <v>352</v>
      </c>
    </row>
    <row r="602" spans="1:17">
      <c r="A602" s="1" t="e">
        <f ca="1">'2026_ST_JOSEPHS_LIVING_KDY'!$A$1</f>
        <v>#VALUE!</v>
      </c>
      <c r="B602" s="14" t="e">
        <f t="shared" ca="1" si="151"/>
        <v>#VALUE!</v>
      </c>
      <c r="C602" s="1" t="s">
        <v>379</v>
      </c>
      <c r="D602" s="4" t="e" cm="1">
        <f t="array" aca="1" ref="D602" ca="1">RIGHT(INDIRECT(ADDRESS(6,2,,,$A602)),6)</f>
        <v>#VALUE!</v>
      </c>
      <c r="E602" s="1" t="e" cm="1">
        <f t="array" aca="1" ref="E602" ca="1">RIGHT(INDIRECT(ADDRESS(4,2,,,$A602)),5)</f>
        <v>#VALUE!</v>
      </c>
      <c r="F602" s="22">
        <v>1.0335000000000001</v>
      </c>
      <c r="G602" s="22">
        <f t="shared" si="158"/>
        <v>1.0325</v>
      </c>
      <c r="H602" s="7">
        <v>1</v>
      </c>
      <c r="I602" s="7">
        <v>3</v>
      </c>
      <c r="J602" s="26">
        <v>4</v>
      </c>
      <c r="K602" s="26"/>
      <c r="L602" s="26" t="s">
        <v>350</v>
      </c>
      <c r="M602" s="26" t="s">
        <v>351</v>
      </c>
      <c r="N602" s="9" t="str">
        <f>LEFT(INDEX('2026_ST_JOSEPHS_LIVING_KDY'!$A$1:$E$30,MATCH($H602,'2026_ST_JOSEPHS_LIVING_KDY'!$A$1:$A$30),MATCH(I602,'2026_ST_JOSEPHS_LIVING_KDY'!$A$1:$D$1)),30)</f>
        <v>OUTPATIENT EVALUATION* - Initi</v>
      </c>
      <c r="O602" s="16">
        <v>4254</v>
      </c>
      <c r="P602" s="507">
        <f t="shared" si="161"/>
        <v>4392</v>
      </c>
    </row>
    <row r="603" spans="1:17">
      <c r="A603" s="1" t="e">
        <f ca="1">'2026_ST_JOSEPHS_LIVING_KDY'!$A$1</f>
        <v>#VALUE!</v>
      </c>
      <c r="B603" s="14" t="e">
        <f t="shared" ca="1" si="151"/>
        <v>#VALUE!</v>
      </c>
      <c r="C603" s="1" t="s">
        <v>379</v>
      </c>
      <c r="D603" s="4" t="e" cm="1">
        <f t="array" aca="1" ref="D603" ca="1">RIGHT(INDIRECT(ADDRESS(6,2,,,$A603)),6)</f>
        <v>#VALUE!</v>
      </c>
      <c r="E603" s="1" t="e" cm="1">
        <f t="array" aca="1" ref="E603" ca="1">RIGHT(INDIRECT(ADDRESS(4,2,,,$A603)),5)</f>
        <v>#VALUE!</v>
      </c>
      <c r="F603" s="22">
        <v>1.0335000000000001</v>
      </c>
      <c r="G603" s="22">
        <f t="shared" si="158"/>
        <v>1.0325</v>
      </c>
      <c r="H603" s="7">
        <v>2</v>
      </c>
      <c r="I603" s="7">
        <v>3</v>
      </c>
      <c r="J603" s="26">
        <v>4</v>
      </c>
      <c r="K603" s="26"/>
      <c r="L603" s="26" t="s">
        <v>350</v>
      </c>
      <c r="M603" s="26" t="s">
        <v>351</v>
      </c>
      <c r="N603" s="9" t="str">
        <f>LEFT(INDEX('2026_ST_JOSEPHS_LIVING_KDY'!$A$1:$E$30,MATCH($H603,'2026_ST_JOSEPHS_LIVING_KDY'!$A$1:$A$30),MATCH(I603,'2026_ST_JOSEPHS_LIVING_KDY'!$A$1:$D$1)),30)</f>
        <v xml:space="preserve">PREP AND TRANSPLANT UP TO AND </v>
      </c>
      <c r="O603" s="16">
        <v>90118</v>
      </c>
      <c r="P603" s="507">
        <f t="shared" si="161"/>
        <v>93047</v>
      </c>
    </row>
    <row r="604" spans="1:17">
      <c r="A604" s="1" t="e">
        <f ca="1">'2026_ST_JOSEPHS_LIVING_KDY'!$A$1</f>
        <v>#VALUE!</v>
      </c>
      <c r="B604" s="14" t="e">
        <f t="shared" ca="1" si="151"/>
        <v>#VALUE!</v>
      </c>
      <c r="C604" s="1" t="s">
        <v>379</v>
      </c>
      <c r="D604" s="4" t="e" cm="1">
        <f t="array" aca="1" ref="D604" ca="1">RIGHT(INDIRECT(ADDRESS(6,2,,,$A604)),6)</f>
        <v>#VALUE!</v>
      </c>
      <c r="E604" s="1" t="e" cm="1">
        <f t="array" aca="1" ref="E604" ca="1">RIGHT(INDIRECT(ADDRESS(4,2,,,$A604)),5)</f>
        <v>#VALUE!</v>
      </c>
      <c r="F604" s="22">
        <v>1.0335000000000001</v>
      </c>
      <c r="G604" s="22">
        <f t="shared" si="158"/>
        <v>1.0325</v>
      </c>
      <c r="H604" s="7">
        <v>3</v>
      </c>
      <c r="I604" s="7">
        <v>3</v>
      </c>
      <c r="J604" s="26">
        <v>4</v>
      </c>
      <c r="K604" s="26"/>
      <c r="L604" s="26" t="s">
        <v>350</v>
      </c>
      <c r="M604" s="26" t="s">
        <v>351</v>
      </c>
      <c r="N604" s="9" t="str">
        <f>LEFT(INDEX('2026_ST_JOSEPHS_LIVING_KDY'!$A$1:$E$30,MATCH($H604,'2026_ST_JOSEPHS_LIVING_KDY'!$A$1:$A$30),MATCH(I604,'2026_ST_JOSEPHS_LIVING_KDY'!$A$1:$D$1)),30)</f>
        <v>LIVING DONOR SURGERY AND INPAT</v>
      </c>
      <c r="O604" s="16">
        <v>19378</v>
      </c>
      <c r="P604" s="507">
        <f t="shared" si="161"/>
        <v>20008</v>
      </c>
    </row>
    <row r="605" spans="1:17">
      <c r="A605" s="1" t="e">
        <f ca="1">'2026_ST_JOSEPHS_LIVING_KDY'!$A$1</f>
        <v>#VALUE!</v>
      </c>
      <c r="B605" s="14" t="e">
        <f t="shared" ca="1" si="151"/>
        <v>#VALUE!</v>
      </c>
      <c r="C605" s="1" t="s">
        <v>379</v>
      </c>
      <c r="D605" s="4" t="e" cm="1">
        <f t="array" aca="1" ref="D605" ca="1">RIGHT(INDIRECT(ADDRESS(6,2,,,$A605)),6)</f>
        <v>#VALUE!</v>
      </c>
      <c r="E605" s="1" t="e" cm="1">
        <f t="array" aca="1" ref="E605" ca="1">RIGHT(INDIRECT(ADDRESS(4,2,,,$A605)),5)</f>
        <v>#VALUE!</v>
      </c>
      <c r="F605" s="22">
        <v>1.0335000000000001</v>
      </c>
      <c r="G605" s="22">
        <f t="shared" si="158"/>
        <v>1.0325</v>
      </c>
      <c r="H605" s="7">
        <v>4</v>
      </c>
      <c r="I605" s="7">
        <v>3</v>
      </c>
      <c r="J605" s="26">
        <v>4</v>
      </c>
      <c r="K605" s="26"/>
      <c r="L605" s="26" t="s">
        <v>350</v>
      </c>
      <c r="M605" s="26" t="s">
        <v>351</v>
      </c>
      <c r="N605" s="9" t="str">
        <f>LEFT(INDEX('2026_ST_JOSEPHS_LIVING_KDY'!$A$1:$E$30,MATCH($H605,'2026_ST_JOSEPHS_LIVING_KDY'!$A$1:$A$30),MATCH(I605,'2026_ST_JOSEPHS_LIVING_KDY'!$A$1:$D$1)),30)</f>
        <v xml:space="preserve">PER DIEM RATES for day 61+ of </v>
      </c>
      <c r="O605" s="16">
        <v>2474</v>
      </c>
      <c r="P605" s="507">
        <f t="shared" si="161"/>
        <v>2554</v>
      </c>
    </row>
    <row r="606" spans="1:17">
      <c r="A606" s="1" t="e">
        <f ca="1">'2026_ST_JOSEPHS_LIVING_KDY'!$A$1</f>
        <v>#VALUE!</v>
      </c>
      <c r="B606" s="14" t="e">
        <f t="shared" ca="1" si="151"/>
        <v>#VALUE!</v>
      </c>
      <c r="C606" s="1" t="s">
        <v>379</v>
      </c>
      <c r="D606" s="4" t="e" cm="1">
        <f t="array" aca="1" ref="D606" ca="1">RIGHT(INDIRECT(ADDRESS(6,2,,,$A606)),6)</f>
        <v>#VALUE!</v>
      </c>
      <c r="E606" s="1" t="e" cm="1">
        <f t="array" aca="1" ref="E606" ca="1">RIGHT(INDIRECT(ADDRESS(4,2,,,$A606)),5)</f>
        <v>#VALUE!</v>
      </c>
      <c r="F606" s="22">
        <v>1.0335000000000001</v>
      </c>
      <c r="G606" s="22">
        <f t="shared" si="158"/>
        <v>1.0325</v>
      </c>
      <c r="H606" s="7">
        <v>5</v>
      </c>
      <c r="I606" s="7">
        <v>3</v>
      </c>
      <c r="J606" s="26">
        <v>4</v>
      </c>
      <c r="K606" s="26"/>
      <c r="L606" s="26" t="s">
        <v>350</v>
      </c>
      <c r="M606" s="26" t="s">
        <v>351</v>
      </c>
      <c r="N606" s="9" t="str">
        <f>LEFT(INDEX('2026_ST_JOSEPHS_LIVING_KDY'!$A$1:$E$30,MATCH($H606,'2026_ST_JOSEPHS_LIVING_KDY'!$A$1:$A$30),MATCH(I606,'2026_ST_JOSEPHS_LIVING_KDY'!$A$1:$D$1)),30)</f>
        <v>Days 11+/61+ paid at the per d</v>
      </c>
      <c r="O606" s="16">
        <v>7263.18</v>
      </c>
      <c r="P606" s="509">
        <f>O606*$Q$2</f>
        <v>8014.1928120000002</v>
      </c>
      <c r="Q606" s="14" t="s">
        <v>352</v>
      </c>
    </row>
    <row r="607" spans="1:17">
      <c r="A607" s="1" t="e">
        <f ca="1">'2026_STANFORD_HEART'!$A$1</f>
        <v>#VALUE!</v>
      </c>
      <c r="B607" s="14" t="e">
        <f t="shared" ca="1" si="151"/>
        <v>#VALUE!</v>
      </c>
      <c r="C607" s="1" t="s">
        <v>380</v>
      </c>
      <c r="D607" s="4" t="e" cm="1">
        <f t="array" aca="1" ref="D607" ca="1">RIGHT(INDIRECT(ADDRESS(6,2,,,$A607)),6)</f>
        <v>#VALUE!</v>
      </c>
      <c r="E607" s="1" t="e" cm="1">
        <f t="array" aca="1" ref="E607" ca="1">RIGHT(INDIRECT(ADDRESS(4,2,,,$A607)),5)</f>
        <v>#VALUE!</v>
      </c>
      <c r="F607" s="22">
        <v>1.0335000000000001</v>
      </c>
      <c r="G607" s="22">
        <f t="shared" si="158"/>
        <v>1.0325</v>
      </c>
      <c r="H607" s="7">
        <v>1</v>
      </c>
      <c r="I607" s="7">
        <v>3</v>
      </c>
      <c r="J607" s="26">
        <v>4</v>
      </c>
      <c r="K607" s="26"/>
      <c r="L607" s="26" t="s">
        <v>350</v>
      </c>
      <c r="M607" s="26" t="s">
        <v>351</v>
      </c>
      <c r="N607" s="9" t="str">
        <f>LEFT(INDEX('2026_STANFORD_HEART'!$A$1:$E$30,MATCH($H607,'2026_STANFORD_HEART'!$A$1:$A$30),MATCH(I607,'2026_STANFORD_HEART'!$A$1:$D$1)),30)</f>
        <v>EVALUATION (Inpatient or outpa</v>
      </c>
      <c r="O607" s="16" t="s">
        <v>369</v>
      </c>
      <c r="P607" s="507" t="str">
        <f t="shared" ref="P607" si="162">O607</f>
        <v>35% of billed charges</v>
      </c>
      <c r="Q607" s="14" t="s">
        <v>354</v>
      </c>
    </row>
    <row r="608" spans="1:17">
      <c r="A608" s="1" t="e">
        <f ca="1">'2026_STANFORD_HEART'!$A$1</f>
        <v>#VALUE!</v>
      </c>
      <c r="B608" s="14" t="e">
        <f t="shared" ca="1" si="151"/>
        <v>#VALUE!</v>
      </c>
      <c r="C608" s="1" t="s">
        <v>380</v>
      </c>
      <c r="D608" s="4" t="e" cm="1">
        <f t="array" aca="1" ref="D608" ca="1">RIGHT(INDIRECT(ADDRESS(6,2,,,$A608)),6)</f>
        <v>#VALUE!</v>
      </c>
      <c r="E608" s="1" t="e" cm="1">
        <f t="array" aca="1" ref="E608" ca="1">RIGHT(INDIRECT(ADDRESS(4,2,,,$A608)),5)</f>
        <v>#VALUE!</v>
      </c>
      <c r="F608" s="22">
        <v>1.0335000000000001</v>
      </c>
      <c r="G608" s="22">
        <f t="shared" si="158"/>
        <v>1.0325</v>
      </c>
      <c r="H608" s="7">
        <v>2</v>
      </c>
      <c r="I608" s="7">
        <v>3</v>
      </c>
      <c r="J608" s="26">
        <v>4</v>
      </c>
      <c r="K608" s="26"/>
      <c r="L608" s="26" t="s">
        <v>350</v>
      </c>
      <c r="M608" s="26" t="s">
        <v>351</v>
      </c>
      <c r="N608" s="9" t="str">
        <f>LEFT(INDEX('2026_STANFORD_HEART'!$A$1:$E$30,MATCH($H608,'2026_STANFORD_HEART'!$A$1:$A$30),MATCH(I608,'2026_STANFORD_HEART'!$A$1:$D$1)),30)</f>
        <v>PREP AND TRANSPLANT</v>
      </c>
      <c r="O608" s="16">
        <v>255380</v>
      </c>
      <c r="P608" s="507">
        <f t="shared" ref="P608:P612" si="163">ROUND(O608*$G$2,0)</f>
        <v>263680</v>
      </c>
    </row>
    <row r="609" spans="1:17">
      <c r="A609" s="1" t="e">
        <f ca="1">'2026_STANFORD_HEART'!$A$1</f>
        <v>#VALUE!</v>
      </c>
      <c r="B609" s="14" t="e">
        <f t="shared" ref="B609:B661" ca="1" si="164">IF(A609=A608,0,1)</f>
        <v>#VALUE!</v>
      </c>
      <c r="C609" s="1" t="s">
        <v>380</v>
      </c>
      <c r="D609" s="4" t="e" cm="1">
        <f t="array" aca="1" ref="D609" ca="1">RIGHT(INDIRECT(ADDRESS(6,2,,,$A609)),6)</f>
        <v>#VALUE!</v>
      </c>
      <c r="E609" s="1" t="e" cm="1">
        <f t="array" aca="1" ref="E609" ca="1">RIGHT(INDIRECT(ADDRESS(4,2,,,$A609)),5)</f>
        <v>#VALUE!</v>
      </c>
      <c r="F609" s="22">
        <v>1.0335000000000001</v>
      </c>
      <c r="G609" s="22">
        <f t="shared" si="158"/>
        <v>1.0325</v>
      </c>
      <c r="H609" s="7">
        <v>3</v>
      </c>
      <c r="I609" s="7">
        <v>3</v>
      </c>
      <c r="J609" s="26">
        <v>4</v>
      </c>
      <c r="K609" s="26"/>
      <c r="L609" s="26" t="s">
        <v>350</v>
      </c>
      <c r="M609" s="26" t="s">
        <v>351</v>
      </c>
      <c r="N609" s="9" t="str">
        <f>LEFT(INDEX('2026_STANFORD_HEART'!$A$1:$E$30,MATCH($H609,'2026_STANFORD_HEART'!$A$1:$A$30),MATCH(I609,'2026_STANFORD_HEART'!$A$1:$D$1)),30)</f>
        <v>FOLLOW UP CARE - From day 1 po</v>
      </c>
      <c r="O609" s="16">
        <v>84335</v>
      </c>
      <c r="P609" s="507">
        <f t="shared" si="163"/>
        <v>87076</v>
      </c>
    </row>
    <row r="610" spans="1:17">
      <c r="A610" s="1" t="e">
        <f ca="1">'2026_STANFORD_HEART'!$A$1</f>
        <v>#VALUE!</v>
      </c>
      <c r="B610" s="14" t="e">
        <f t="shared" ca="1" si="164"/>
        <v>#VALUE!</v>
      </c>
      <c r="C610" s="1" t="s">
        <v>380</v>
      </c>
      <c r="D610" s="4" t="e" cm="1">
        <f t="array" aca="1" ref="D610" ca="1">RIGHT(INDIRECT(ADDRESS(6,2,,,$A610)),6)</f>
        <v>#VALUE!</v>
      </c>
      <c r="E610" s="1" t="e" cm="1">
        <f t="array" aca="1" ref="E610" ca="1">RIGHT(INDIRECT(ADDRESS(4,2,,,$A610)),5)</f>
        <v>#VALUE!</v>
      </c>
      <c r="F610" s="22">
        <v>1.0335000000000001</v>
      </c>
      <c r="G610" s="22">
        <f t="shared" si="158"/>
        <v>1.0325</v>
      </c>
      <c r="H610" s="7">
        <v>4</v>
      </c>
      <c r="I610" s="7">
        <v>3</v>
      </c>
      <c r="J610" s="26">
        <v>4</v>
      </c>
      <c r="K610" s="26"/>
      <c r="L610" s="26" t="s">
        <v>350</v>
      </c>
      <c r="M610" s="26" t="s">
        <v>351</v>
      </c>
      <c r="N610" s="9" t="str">
        <f>LEFT(INDEX('2026_STANFORD_HEART'!$A$1:$E$30,MATCH($H610,'2026_STANFORD_HEART'!$A$1:$A$30),MATCH(I610,'2026_STANFORD_HEART'!$A$1:$D$1)),30)</f>
        <v>FOLLOW UP CARE - From day 31 p</v>
      </c>
      <c r="O610" s="16">
        <v>34448</v>
      </c>
      <c r="P610" s="507">
        <f t="shared" si="163"/>
        <v>35568</v>
      </c>
    </row>
    <row r="611" spans="1:17">
      <c r="A611" s="1" t="e">
        <f ca="1">'2026_STANFORD_HEART'!$A$1</f>
        <v>#VALUE!</v>
      </c>
      <c r="B611" s="14" t="e">
        <f t="shared" ca="1" si="164"/>
        <v>#VALUE!</v>
      </c>
      <c r="C611" s="1" t="s">
        <v>380</v>
      </c>
      <c r="D611" s="4" t="e" cm="1">
        <f t="array" aca="1" ref="D611" ca="1">RIGHT(INDIRECT(ADDRESS(6,2,,,$A611)),6)</f>
        <v>#VALUE!</v>
      </c>
      <c r="E611" s="1" t="e" cm="1">
        <f t="array" aca="1" ref="E611" ca="1">RIGHT(INDIRECT(ADDRESS(4,2,,,$A611)),5)</f>
        <v>#VALUE!</v>
      </c>
      <c r="F611" s="22">
        <v>1.0335000000000001</v>
      </c>
      <c r="G611" s="22">
        <f t="shared" si="158"/>
        <v>1.0325</v>
      </c>
      <c r="H611" s="7">
        <v>5</v>
      </c>
      <c r="I611" s="7">
        <v>3</v>
      </c>
      <c r="J611" s="26">
        <v>4</v>
      </c>
      <c r="K611" s="26"/>
      <c r="L611" s="26" t="s">
        <v>350</v>
      </c>
      <c r="M611" s="26" t="s">
        <v>351</v>
      </c>
      <c r="N611" s="9" t="str">
        <f>LEFT(INDEX('2026_STANFORD_HEART'!$A$1:$E$30,MATCH($H611,'2026_STANFORD_HEART'!$A$1:$A$30),MATCH(I611,'2026_STANFORD_HEART'!$A$1:$D$1)),30)</f>
        <v>ROOM &amp; BOARD-PER DIEM</v>
      </c>
      <c r="O611" s="16">
        <v>165</v>
      </c>
      <c r="P611" s="507">
        <f t="shared" si="163"/>
        <v>170</v>
      </c>
    </row>
    <row r="612" spans="1:17">
      <c r="A612" s="1" t="e">
        <f ca="1">'2026_STANFORD_HEART'!$A$1</f>
        <v>#VALUE!</v>
      </c>
      <c r="B612" s="14" t="e">
        <f t="shared" ca="1" si="164"/>
        <v>#VALUE!</v>
      </c>
      <c r="C612" s="1" t="s">
        <v>380</v>
      </c>
      <c r="D612" s="4" t="e" cm="1">
        <f t="array" aca="1" ref="D612" ca="1">RIGHT(INDIRECT(ADDRESS(6,2,,,$A612)),6)</f>
        <v>#VALUE!</v>
      </c>
      <c r="E612" s="1" t="e" cm="1">
        <f t="array" aca="1" ref="E612" ca="1">RIGHT(INDIRECT(ADDRESS(4,2,,,$A612)),5)</f>
        <v>#VALUE!</v>
      </c>
      <c r="F612" s="22">
        <v>1.0335000000000001</v>
      </c>
      <c r="G612" s="22">
        <f t="shared" si="158"/>
        <v>1.0325</v>
      </c>
      <c r="H612" s="7">
        <v>6</v>
      </c>
      <c r="I612" s="7">
        <v>3</v>
      </c>
      <c r="J612" s="26">
        <v>4</v>
      </c>
      <c r="K612" s="26"/>
      <c r="L612" s="26" t="s">
        <v>350</v>
      </c>
      <c r="M612" s="26" t="s">
        <v>351</v>
      </c>
      <c r="N612" s="9" t="str">
        <f>LEFT(INDEX('2026_STANFORD_HEART'!$A$1:$E$30,MATCH($H612,'2026_STANFORD_HEART'!$A$1:$A$30),MATCH(I612,'2026_STANFORD_HEART'!$A$1:$D$1)),30)</f>
        <v>**Heart cases will be reimburs</v>
      </c>
      <c r="O612" s="16">
        <v>935404</v>
      </c>
      <c r="P612" s="507">
        <f t="shared" si="163"/>
        <v>965805</v>
      </c>
      <c r="Q612" s="14" t="s">
        <v>353</v>
      </c>
    </row>
    <row r="613" spans="1:17">
      <c r="A613" s="1" t="e">
        <f ca="1">'2026_STANFORD_HEART'!$A$1</f>
        <v>#VALUE!</v>
      </c>
      <c r="B613" s="14" t="e">
        <f t="shared" ca="1" si="164"/>
        <v>#VALUE!</v>
      </c>
      <c r="C613" s="1" t="s">
        <v>380</v>
      </c>
      <c r="D613" s="4" t="e" cm="1">
        <f t="array" aca="1" ref="D613" ca="1">RIGHT(INDIRECT(ADDRESS(6,2,,,$A613)),6)</f>
        <v>#VALUE!</v>
      </c>
      <c r="E613" s="1" t="e" cm="1">
        <f t="array" aca="1" ref="E613" ca="1">RIGHT(INDIRECT(ADDRESS(4,2,,,$A613)),5)</f>
        <v>#VALUE!</v>
      </c>
      <c r="F613" s="22">
        <v>1.0335000000000001</v>
      </c>
      <c r="G613" s="22">
        <f t="shared" si="158"/>
        <v>1.0325</v>
      </c>
      <c r="H613" s="7">
        <v>7</v>
      </c>
      <c r="I613" s="7">
        <v>3</v>
      </c>
      <c r="J613" s="26">
        <v>4</v>
      </c>
      <c r="K613" s="26"/>
      <c r="L613" s="26" t="s">
        <v>350</v>
      </c>
      <c r="M613" s="26" t="s">
        <v>351</v>
      </c>
      <c r="N613" s="9" t="str">
        <f>LEFT(INDEX('2026_STANFORD_HEART'!$A$1:$E$30,MATCH($H613,'2026_STANFORD_HEART'!$A$1:$A$30),MATCH(I613,'2026_STANFORD_HEART'!$A$1:$D$1)),30)</f>
        <v>Rate Above Threshold</v>
      </c>
      <c r="O613" s="16">
        <v>0.4</v>
      </c>
      <c r="P613" s="507">
        <f t="shared" ref="P613:P615" si="165">O613</f>
        <v>0.4</v>
      </c>
      <c r="Q613" s="14" t="s">
        <v>354</v>
      </c>
    </row>
    <row r="614" spans="1:17">
      <c r="A614" s="1" t="e">
        <f ca="1">'2026_STANFORD_HEART'!$A$1</f>
        <v>#VALUE!</v>
      </c>
      <c r="B614" s="14" t="e">
        <f t="shared" ca="1" si="164"/>
        <v>#VALUE!</v>
      </c>
      <c r="C614" s="1" t="s">
        <v>380</v>
      </c>
      <c r="D614" s="4" t="e" cm="1">
        <f t="array" aca="1" ref="D614" ca="1">RIGHT(INDIRECT(ADDRESS(6,2,,,$A614)),6)</f>
        <v>#VALUE!</v>
      </c>
      <c r="E614" s="1" t="e" cm="1">
        <f t="array" aca="1" ref="E614" ca="1">RIGHT(INDIRECT(ADDRESS(4,2,,,$A614)),5)</f>
        <v>#VALUE!</v>
      </c>
      <c r="F614" s="22">
        <v>1.0335000000000001</v>
      </c>
      <c r="G614" s="22">
        <f t="shared" si="158"/>
        <v>1.0325</v>
      </c>
      <c r="H614" s="7">
        <v>8</v>
      </c>
      <c r="I614" s="7">
        <v>3</v>
      </c>
      <c r="J614" s="26">
        <v>4</v>
      </c>
      <c r="K614" s="26"/>
      <c r="L614" s="26" t="s">
        <v>350</v>
      </c>
      <c r="M614" s="26" t="s">
        <v>351</v>
      </c>
      <c r="N614" s="9" t="str">
        <f>LEFT(INDEX('2026_STANFORD_HEART'!$A$1:$E$30,MATCH($H614,'2026_STANFORD_HEART'!$A$1:$A$30),MATCH(I614,'2026_STANFORD_HEART'!$A$1:$D$1)),30)</f>
        <v>Days 61+ through date of disch</v>
      </c>
      <c r="O614" s="16">
        <v>0.4</v>
      </c>
      <c r="P614" s="507">
        <f t="shared" si="165"/>
        <v>0.4</v>
      </c>
      <c r="Q614" s="14" t="s">
        <v>354</v>
      </c>
    </row>
    <row r="615" spans="1:17">
      <c r="A615" s="1" t="e">
        <f ca="1">'2026_STANFORD_SINGLE_DOUBL_LUNG'!$A$1</f>
        <v>#VALUE!</v>
      </c>
      <c r="B615" s="14" t="e">
        <f t="shared" ca="1" si="164"/>
        <v>#VALUE!</v>
      </c>
      <c r="C615" s="1" t="s">
        <v>380</v>
      </c>
      <c r="D615" s="4" t="e" cm="1">
        <f t="array" aca="1" ref="D615" ca="1">RIGHT(INDIRECT(ADDRESS(6,2,,,$A615)),6)</f>
        <v>#VALUE!</v>
      </c>
      <c r="E615" s="1" t="e" cm="1">
        <f t="array" aca="1" ref="E615" ca="1">RIGHT(INDIRECT(ADDRESS(4,2,,,$A615)),5)</f>
        <v>#VALUE!</v>
      </c>
      <c r="F615" s="22">
        <v>1.0335000000000001</v>
      </c>
      <c r="G615" s="22">
        <f t="shared" si="158"/>
        <v>1.0325</v>
      </c>
      <c r="H615" s="7">
        <v>1</v>
      </c>
      <c r="I615" s="7">
        <v>3</v>
      </c>
      <c r="J615" s="26">
        <v>4</v>
      </c>
      <c r="K615" s="26"/>
      <c r="L615" s="26" t="s">
        <v>350</v>
      </c>
      <c r="M615" s="26" t="s">
        <v>351</v>
      </c>
      <c r="N615" s="9" t="str">
        <f>LEFT(INDEX('2026_STANFORD_SINGLE_DOUBL_LUNG'!$A$1:$E$30,MATCH($H615,'2026_STANFORD_SINGLE_DOUBL_LUNG'!$A$1:$A$30),MATCH(I615,'2026_STANFORD_SINGLE_DOUBL_LUNG'!$A$1:$D$1)),30)</f>
        <v>EVALUATION (Inpatient or outpa</v>
      </c>
      <c r="O615" s="16" t="s">
        <v>369</v>
      </c>
      <c r="P615" s="507" t="str">
        <f t="shared" si="165"/>
        <v>35% of billed charges</v>
      </c>
      <c r="Q615" s="14" t="s">
        <v>354</v>
      </c>
    </row>
    <row r="616" spans="1:17">
      <c r="A616" s="1" t="e">
        <f ca="1">'2026_STANFORD_SINGLE_DOUBL_LUNG'!$A$1</f>
        <v>#VALUE!</v>
      </c>
      <c r="B616" s="14" t="e">
        <f t="shared" ca="1" si="164"/>
        <v>#VALUE!</v>
      </c>
      <c r="C616" s="1" t="s">
        <v>380</v>
      </c>
      <c r="D616" s="4" t="e" cm="1">
        <f t="array" aca="1" ref="D616" ca="1">RIGHT(INDIRECT(ADDRESS(6,2,,,$A616)),6)</f>
        <v>#VALUE!</v>
      </c>
      <c r="E616" s="1" t="e" cm="1">
        <f t="array" aca="1" ref="E616" ca="1">RIGHT(INDIRECT(ADDRESS(4,2,,,$A616)),5)</f>
        <v>#VALUE!</v>
      </c>
      <c r="F616" s="22">
        <v>1.0335000000000001</v>
      </c>
      <c r="G616" s="22">
        <f t="shared" si="158"/>
        <v>1.0325</v>
      </c>
      <c r="H616" s="7">
        <v>2</v>
      </c>
      <c r="I616" s="7">
        <v>3</v>
      </c>
      <c r="J616" s="26">
        <v>4</v>
      </c>
      <c r="K616" s="26"/>
      <c r="L616" s="26" t="s">
        <v>350</v>
      </c>
      <c r="M616" s="26" t="s">
        <v>351</v>
      </c>
      <c r="N616" s="9" t="str">
        <f>LEFT(INDEX('2026_STANFORD_SINGLE_DOUBL_LUNG'!$A$1:$E$30,MATCH($H616,'2026_STANFORD_SINGLE_DOUBL_LUNG'!$A$1:$A$30),MATCH(I616,'2026_STANFORD_SINGLE_DOUBL_LUNG'!$A$1:$D$1)),30)</f>
        <v>PREP AND TRANSPLANT</v>
      </c>
      <c r="O616" s="16">
        <v>237564</v>
      </c>
      <c r="P616" s="507">
        <f t="shared" ref="P616:P620" si="166">ROUND(O616*$G$2,0)</f>
        <v>245285</v>
      </c>
    </row>
    <row r="617" spans="1:17">
      <c r="A617" s="1" t="e">
        <f ca="1">'2026_STANFORD_SINGLE_DOUBL_LUNG'!$A$1</f>
        <v>#VALUE!</v>
      </c>
      <c r="B617" s="14" t="e">
        <f t="shared" ca="1" si="164"/>
        <v>#VALUE!</v>
      </c>
      <c r="C617" s="1" t="s">
        <v>380</v>
      </c>
      <c r="D617" s="4" t="e" cm="1">
        <f t="array" aca="1" ref="D617" ca="1">RIGHT(INDIRECT(ADDRESS(6,2,,,$A617)),6)</f>
        <v>#VALUE!</v>
      </c>
      <c r="E617" s="1" t="e" cm="1">
        <f t="array" aca="1" ref="E617" ca="1">RIGHT(INDIRECT(ADDRESS(4,2,,,$A617)),5)</f>
        <v>#VALUE!</v>
      </c>
      <c r="F617" s="22">
        <v>1.0335000000000001</v>
      </c>
      <c r="G617" s="22">
        <f t="shared" si="158"/>
        <v>1.0325</v>
      </c>
      <c r="H617" s="7">
        <v>3</v>
      </c>
      <c r="I617" s="7">
        <v>3</v>
      </c>
      <c r="J617" s="26">
        <v>4</v>
      </c>
      <c r="K617" s="26"/>
      <c r="L617" s="26" t="s">
        <v>350</v>
      </c>
      <c r="M617" s="26" t="s">
        <v>351</v>
      </c>
      <c r="N617" s="9" t="str">
        <f>LEFT(INDEX('2026_STANFORD_SINGLE_DOUBL_LUNG'!$A$1:$E$30,MATCH($H617,'2026_STANFORD_SINGLE_DOUBL_LUNG'!$A$1:$A$30),MATCH(I617,'2026_STANFORD_SINGLE_DOUBL_LUNG'!$A$1:$D$1)),30)</f>
        <v>FOLLOW UP CARE - From day 1 po</v>
      </c>
      <c r="O617" s="16">
        <v>139836</v>
      </c>
      <c r="P617" s="507">
        <f t="shared" si="166"/>
        <v>144381</v>
      </c>
    </row>
    <row r="618" spans="1:17">
      <c r="A618" s="1" t="e">
        <f ca="1">'2026_STANFORD_SINGLE_DOUBL_LUNG'!$A$1</f>
        <v>#VALUE!</v>
      </c>
      <c r="B618" s="14" t="e">
        <f t="shared" ca="1" si="164"/>
        <v>#VALUE!</v>
      </c>
      <c r="C618" s="1" t="s">
        <v>380</v>
      </c>
      <c r="D618" s="4" t="e" cm="1">
        <f t="array" aca="1" ref="D618" ca="1">RIGHT(INDIRECT(ADDRESS(6,2,,,$A618)),6)</f>
        <v>#VALUE!</v>
      </c>
      <c r="E618" s="1" t="e" cm="1">
        <f t="array" aca="1" ref="E618" ca="1">RIGHT(INDIRECT(ADDRESS(4,2,,,$A618)),5)</f>
        <v>#VALUE!</v>
      </c>
      <c r="F618" s="22">
        <v>1.0335000000000001</v>
      </c>
      <c r="G618" s="22">
        <f t="shared" si="158"/>
        <v>1.0325</v>
      </c>
      <c r="H618" s="7">
        <v>4</v>
      </c>
      <c r="I618" s="7">
        <v>3</v>
      </c>
      <c r="J618" s="26">
        <v>4</v>
      </c>
      <c r="K618" s="26"/>
      <c r="L618" s="26" t="s">
        <v>350</v>
      </c>
      <c r="M618" s="26" t="s">
        <v>351</v>
      </c>
      <c r="N618" s="9" t="str">
        <f>LEFT(INDEX('2026_STANFORD_SINGLE_DOUBL_LUNG'!$A$1:$E$30,MATCH($H618,'2026_STANFORD_SINGLE_DOUBL_LUNG'!$A$1:$A$30),MATCH(I618,'2026_STANFORD_SINGLE_DOUBL_LUNG'!$A$1:$D$1)),30)</f>
        <v>FOLLOW UP CARE - From day 31 p</v>
      </c>
      <c r="O618" s="16">
        <v>30696</v>
      </c>
      <c r="P618" s="507">
        <f t="shared" si="166"/>
        <v>31694</v>
      </c>
    </row>
    <row r="619" spans="1:17">
      <c r="A619" s="1" t="e">
        <f ca="1">'2026_STANFORD_SINGLE_DOUBL_LUNG'!$A$1</f>
        <v>#VALUE!</v>
      </c>
      <c r="B619" s="14" t="e">
        <f t="shared" ca="1" si="164"/>
        <v>#VALUE!</v>
      </c>
      <c r="C619" s="1" t="s">
        <v>380</v>
      </c>
      <c r="D619" s="4" t="e" cm="1">
        <f t="array" aca="1" ref="D619" ca="1">RIGHT(INDIRECT(ADDRESS(6,2,,,$A619)),6)</f>
        <v>#VALUE!</v>
      </c>
      <c r="E619" s="1" t="e" cm="1">
        <f t="array" aca="1" ref="E619" ca="1">RIGHT(INDIRECT(ADDRESS(4,2,,,$A619)),5)</f>
        <v>#VALUE!</v>
      </c>
      <c r="F619" s="22">
        <v>1.0335000000000001</v>
      </c>
      <c r="G619" s="22">
        <f t="shared" si="158"/>
        <v>1.0325</v>
      </c>
      <c r="H619" s="7">
        <v>5</v>
      </c>
      <c r="I619" s="7">
        <v>3</v>
      </c>
      <c r="J619" s="26">
        <v>4</v>
      </c>
      <c r="K619" s="26"/>
      <c r="L619" s="26" t="s">
        <v>350</v>
      </c>
      <c r="M619" s="26" t="s">
        <v>351</v>
      </c>
      <c r="N619" s="9" t="str">
        <f>LEFT(INDEX('2026_STANFORD_SINGLE_DOUBL_LUNG'!$A$1:$E$30,MATCH($H619,'2026_STANFORD_SINGLE_DOUBL_LUNG'!$A$1:$A$30),MATCH(I619,'2026_STANFORD_SINGLE_DOUBL_LUNG'!$A$1:$D$1)),30)</f>
        <v>ROOM &amp; BOARD-PER DIEM</v>
      </c>
      <c r="O619" s="16">
        <v>165</v>
      </c>
      <c r="P619" s="507">
        <f t="shared" si="166"/>
        <v>170</v>
      </c>
    </row>
    <row r="620" spans="1:17">
      <c r="A620" s="1" t="e">
        <f ca="1">'2026_STANFORD_SINGLE_DOUBL_LUNG'!$A$1</f>
        <v>#VALUE!</v>
      </c>
      <c r="B620" s="14" t="e">
        <f t="shared" ca="1" si="164"/>
        <v>#VALUE!</v>
      </c>
      <c r="C620" s="1" t="s">
        <v>380</v>
      </c>
      <c r="D620" s="4" t="e" cm="1">
        <f t="array" aca="1" ref="D620" ca="1">RIGHT(INDIRECT(ADDRESS(6,2,,,$A620)),6)</f>
        <v>#VALUE!</v>
      </c>
      <c r="E620" s="1" t="e" cm="1">
        <f t="array" aca="1" ref="E620" ca="1">RIGHT(INDIRECT(ADDRESS(4,2,,,$A620)),5)</f>
        <v>#VALUE!</v>
      </c>
      <c r="F620" s="22">
        <v>1.0335000000000001</v>
      </c>
      <c r="G620" s="22">
        <f t="shared" si="158"/>
        <v>1.0325</v>
      </c>
      <c r="H620" s="7">
        <v>6</v>
      </c>
      <c r="I620" s="7">
        <v>3</v>
      </c>
      <c r="J620" s="26">
        <v>4</v>
      </c>
      <c r="K620" s="26"/>
      <c r="L620" s="26" t="s">
        <v>350</v>
      </c>
      <c r="M620" s="26" t="s">
        <v>351</v>
      </c>
      <c r="N620" s="9" t="str">
        <f>LEFT(INDEX('2026_STANFORD_SINGLE_DOUBL_LUNG'!$A$1:$E$30,MATCH($H620,'2026_STANFORD_SINGLE_DOUBL_LUNG'!$A$1:$A$30),MATCH(I620,'2026_STANFORD_SINGLE_DOUBL_LUNG'!$A$1:$D$1)),30)</f>
        <v>**Lung cases will be reimburse</v>
      </c>
      <c r="O620" s="16">
        <v>1039339</v>
      </c>
      <c r="P620" s="507">
        <f t="shared" si="166"/>
        <v>1073118</v>
      </c>
    </row>
    <row r="621" spans="1:17">
      <c r="A621" s="1" t="e">
        <f ca="1">'2026_STANFORD_SINGLE_DOUBL_LUNG'!$A$1</f>
        <v>#VALUE!</v>
      </c>
      <c r="B621" s="14" t="e">
        <f t="shared" ca="1" si="164"/>
        <v>#VALUE!</v>
      </c>
      <c r="C621" s="1" t="s">
        <v>380</v>
      </c>
      <c r="D621" s="4" t="e" cm="1">
        <f t="array" aca="1" ref="D621" ca="1">RIGHT(INDIRECT(ADDRESS(6,2,,,$A621)),6)</f>
        <v>#VALUE!</v>
      </c>
      <c r="E621" s="1" t="e" cm="1">
        <f t="array" aca="1" ref="E621" ca="1">RIGHT(INDIRECT(ADDRESS(4,2,,,$A621)),5)</f>
        <v>#VALUE!</v>
      </c>
      <c r="F621" s="22">
        <v>1.0335000000000001</v>
      </c>
      <c r="G621" s="22">
        <f t="shared" si="158"/>
        <v>1.0325</v>
      </c>
      <c r="H621" s="7">
        <v>7</v>
      </c>
      <c r="I621" s="7">
        <v>3</v>
      </c>
      <c r="J621" s="26">
        <v>4</v>
      </c>
      <c r="K621" s="26"/>
      <c r="L621" s="26" t="s">
        <v>350</v>
      </c>
      <c r="M621" s="26" t="s">
        <v>351</v>
      </c>
      <c r="N621" s="9" t="str">
        <f>LEFT(INDEX('2026_STANFORD_SINGLE_DOUBL_LUNG'!$A$1:$E$30,MATCH($H621,'2026_STANFORD_SINGLE_DOUBL_LUNG'!$A$1:$A$30),MATCH(I621,'2026_STANFORD_SINGLE_DOUBL_LUNG'!$A$1:$D$1)),30)</f>
        <v>Rate Above Threshold</v>
      </c>
      <c r="O621" s="16">
        <v>0.4</v>
      </c>
      <c r="P621" s="507">
        <f t="shared" ref="P621:P623" si="167">O621</f>
        <v>0.4</v>
      </c>
      <c r="Q621" s="14" t="s">
        <v>354</v>
      </c>
    </row>
    <row r="622" spans="1:17">
      <c r="A622" s="1" t="e">
        <f ca="1">'2026_STANFORD_SINGLE_DOUBL_LUNG'!$A$1</f>
        <v>#VALUE!</v>
      </c>
      <c r="B622" s="14" t="e">
        <f t="shared" ca="1" si="164"/>
        <v>#VALUE!</v>
      </c>
      <c r="C622" s="1" t="s">
        <v>380</v>
      </c>
      <c r="D622" s="4" t="e" cm="1">
        <f t="array" aca="1" ref="D622" ca="1">RIGHT(INDIRECT(ADDRESS(6,2,,,$A622)),6)</f>
        <v>#VALUE!</v>
      </c>
      <c r="E622" s="1" t="e" cm="1">
        <f t="array" aca="1" ref="E622" ca="1">RIGHT(INDIRECT(ADDRESS(4,2,,,$A622)),5)</f>
        <v>#VALUE!</v>
      </c>
      <c r="F622" s="22">
        <v>1.0335000000000001</v>
      </c>
      <c r="G622" s="22">
        <f t="shared" si="158"/>
        <v>1.0325</v>
      </c>
      <c r="H622" s="7">
        <v>8</v>
      </c>
      <c r="I622" s="7">
        <v>3</v>
      </c>
      <c r="J622" s="26">
        <v>4</v>
      </c>
      <c r="K622" s="26"/>
      <c r="L622" s="26" t="s">
        <v>350</v>
      </c>
      <c r="M622" s="26" t="s">
        <v>351</v>
      </c>
      <c r="N622" s="9" t="str">
        <f>LEFT(INDEX('2026_STANFORD_SINGLE_DOUBL_LUNG'!$A$1:$E$30,MATCH($H622,'2026_STANFORD_SINGLE_DOUBL_LUNG'!$A$1:$A$30),MATCH(I622,'2026_STANFORD_SINGLE_DOUBL_LUNG'!$A$1:$D$1)),30)</f>
        <v>Days 61+ through date of disch</v>
      </c>
      <c r="O622" s="16">
        <v>0.4</v>
      </c>
      <c r="P622" s="507">
        <f t="shared" si="167"/>
        <v>0.4</v>
      </c>
      <c r="Q622" s="14" t="s">
        <v>354</v>
      </c>
    </row>
    <row r="623" spans="1:17">
      <c r="A623" s="1" t="e">
        <f ca="1">'2026_STANFORD_Heart_Lung'!$A$1</f>
        <v>#VALUE!</v>
      </c>
      <c r="B623" s="14" t="e">
        <f t="shared" ca="1" si="164"/>
        <v>#VALUE!</v>
      </c>
      <c r="C623" s="1" t="s">
        <v>380</v>
      </c>
      <c r="D623" s="4" t="e" cm="1">
        <f t="array" aca="1" ref="D623" ca="1">RIGHT(INDIRECT(ADDRESS(6,2,,,$A623)),6)</f>
        <v>#VALUE!</v>
      </c>
      <c r="E623" s="1" t="e" cm="1">
        <f t="array" aca="1" ref="E623" ca="1">RIGHT(INDIRECT(ADDRESS(4,2,,,$A623)),5)</f>
        <v>#VALUE!</v>
      </c>
      <c r="F623" s="22">
        <v>1.0335000000000001</v>
      </c>
      <c r="G623" s="22">
        <f t="shared" si="158"/>
        <v>1.0325</v>
      </c>
      <c r="H623" s="7">
        <v>1</v>
      </c>
      <c r="I623" s="7">
        <v>3</v>
      </c>
      <c r="J623" s="26">
        <v>4</v>
      </c>
      <c r="K623" s="26"/>
      <c r="L623" s="26" t="s">
        <v>350</v>
      </c>
      <c r="M623" s="26" t="s">
        <v>351</v>
      </c>
      <c r="N623" s="9" t="str">
        <f>LEFT(INDEX('2026_STANFORD_Heart_Lung'!$A$1:$E$30,MATCH($H623,'2026_STANFORD_Heart_Lung'!$A$1:$A$30),MATCH(I623,'2026_STANFORD_Heart_Lung'!$A$1:$D$1)),30)</f>
        <v>EVALUATION (Inpatient or outpa</v>
      </c>
      <c r="O623" s="16" t="s">
        <v>369</v>
      </c>
      <c r="P623" s="507" t="str">
        <f t="shared" si="167"/>
        <v>35% of billed charges</v>
      </c>
      <c r="Q623" s="14" t="s">
        <v>354</v>
      </c>
    </row>
    <row r="624" spans="1:17">
      <c r="A624" s="1" t="e">
        <f ca="1">'2026_STANFORD_Heart_Lung'!$A$1</f>
        <v>#VALUE!</v>
      </c>
      <c r="B624" s="14" t="e">
        <f t="shared" ca="1" si="164"/>
        <v>#VALUE!</v>
      </c>
      <c r="C624" s="1" t="s">
        <v>380</v>
      </c>
      <c r="D624" s="4" t="e" cm="1">
        <f t="array" aca="1" ref="D624" ca="1">RIGHT(INDIRECT(ADDRESS(6,2,,,$A624)),6)</f>
        <v>#VALUE!</v>
      </c>
      <c r="E624" s="1" t="e" cm="1">
        <f t="array" aca="1" ref="E624" ca="1">RIGHT(INDIRECT(ADDRESS(4,2,,,$A624)),5)</f>
        <v>#VALUE!</v>
      </c>
      <c r="F624" s="22">
        <v>1.0335000000000001</v>
      </c>
      <c r="G624" s="22">
        <f t="shared" si="158"/>
        <v>1.0325</v>
      </c>
      <c r="H624" s="7">
        <v>2</v>
      </c>
      <c r="I624" s="7">
        <v>3</v>
      </c>
      <c r="J624" s="26">
        <v>4</v>
      </c>
      <c r="K624" s="26"/>
      <c r="L624" s="26" t="s">
        <v>350</v>
      </c>
      <c r="M624" s="26" t="s">
        <v>351</v>
      </c>
      <c r="N624" s="9" t="str">
        <f>LEFT(INDEX('2026_STANFORD_Heart_Lung'!$A$1:$E$30,MATCH($H624,'2026_STANFORD_Heart_Lung'!$A$1:$A$30),MATCH(I624,'2026_STANFORD_Heart_Lung'!$A$1:$D$1)),30)</f>
        <v>PREP AND TRANSPLANT</v>
      </c>
      <c r="O624" s="16">
        <v>264276</v>
      </c>
      <c r="P624" s="507">
        <f t="shared" ref="P624:P627" si="168">ROUND(O624*$G$2,0)</f>
        <v>272865</v>
      </c>
    </row>
    <row r="625" spans="1:17">
      <c r="A625" s="1" t="e">
        <f ca="1">'2026_STANFORD_Heart_Lung'!$A$1</f>
        <v>#VALUE!</v>
      </c>
      <c r="B625" s="14" t="e">
        <f t="shared" ca="1" si="164"/>
        <v>#VALUE!</v>
      </c>
      <c r="C625" s="1" t="s">
        <v>380</v>
      </c>
      <c r="D625" s="4" t="e" cm="1">
        <f t="array" aca="1" ref="D625" ca="1">RIGHT(INDIRECT(ADDRESS(6,2,,,$A625)),6)</f>
        <v>#VALUE!</v>
      </c>
      <c r="E625" s="1" t="e" cm="1">
        <f t="array" aca="1" ref="E625" ca="1">RIGHT(INDIRECT(ADDRESS(4,2,,,$A625)),5)</f>
        <v>#VALUE!</v>
      </c>
      <c r="F625" s="22">
        <v>1.0335000000000001</v>
      </c>
      <c r="G625" s="22">
        <f t="shared" si="158"/>
        <v>1.0325</v>
      </c>
      <c r="H625" s="7">
        <v>3</v>
      </c>
      <c r="I625" s="7">
        <v>3</v>
      </c>
      <c r="J625" s="26">
        <v>4</v>
      </c>
      <c r="K625" s="26"/>
      <c r="L625" s="26" t="s">
        <v>350</v>
      </c>
      <c r="M625" s="26" t="s">
        <v>351</v>
      </c>
      <c r="N625" s="9" t="str">
        <f>LEFT(INDEX('2026_STANFORD_Heart_Lung'!$A$1:$E$30,MATCH($H625,'2026_STANFORD_Heart_Lung'!$A$1:$A$30),MATCH(I625,'2026_STANFORD_Heart_Lung'!$A$1:$D$1)),30)</f>
        <v>FOLLOW UP CARE - From day 1 po</v>
      </c>
      <c r="O625" s="16">
        <v>136996</v>
      </c>
      <c r="P625" s="507">
        <f t="shared" si="168"/>
        <v>141448</v>
      </c>
    </row>
    <row r="626" spans="1:17">
      <c r="A626" s="1" t="e">
        <f ca="1">'2026_STANFORD_Heart_Lung'!$A$1</f>
        <v>#VALUE!</v>
      </c>
      <c r="B626" s="14" t="e">
        <f t="shared" ca="1" si="164"/>
        <v>#VALUE!</v>
      </c>
      <c r="C626" s="1" t="s">
        <v>380</v>
      </c>
      <c r="D626" s="4" t="e" cm="1">
        <f t="array" aca="1" ref="D626" ca="1">RIGHT(INDIRECT(ADDRESS(6,2,,,$A626)),6)</f>
        <v>#VALUE!</v>
      </c>
      <c r="E626" s="1" t="e" cm="1">
        <f t="array" aca="1" ref="E626" ca="1">RIGHT(INDIRECT(ADDRESS(4,2,,,$A626)),5)</f>
        <v>#VALUE!</v>
      </c>
      <c r="F626" s="22">
        <v>1.0335000000000001</v>
      </c>
      <c r="G626" s="22">
        <f t="shared" si="158"/>
        <v>1.0325</v>
      </c>
      <c r="H626" s="7">
        <v>4</v>
      </c>
      <c r="I626" s="7">
        <v>3</v>
      </c>
      <c r="J626" s="26">
        <v>4</v>
      </c>
      <c r="K626" s="26"/>
      <c r="L626" s="26" t="s">
        <v>350</v>
      </c>
      <c r="M626" s="26" t="s">
        <v>351</v>
      </c>
      <c r="N626" s="9" t="str">
        <f>LEFT(INDEX('2026_STANFORD_Heart_Lung'!$A$1:$E$30,MATCH($H626,'2026_STANFORD_Heart_Lung'!$A$1:$A$30),MATCH(I626,'2026_STANFORD_Heart_Lung'!$A$1:$D$1)),30)</f>
        <v>FOLLOW UP CARE - From day 31 p</v>
      </c>
      <c r="O626" s="16">
        <v>68497</v>
      </c>
      <c r="P626" s="507">
        <f t="shared" si="168"/>
        <v>70723</v>
      </c>
    </row>
    <row r="627" spans="1:17">
      <c r="A627" s="1" t="e">
        <f ca="1">'2026_STANFORD_Heart_Lung'!$A$1</f>
        <v>#VALUE!</v>
      </c>
      <c r="B627" s="14" t="e">
        <f t="shared" ca="1" si="164"/>
        <v>#VALUE!</v>
      </c>
      <c r="C627" s="1" t="s">
        <v>380</v>
      </c>
      <c r="D627" s="4" t="e" cm="1">
        <f t="array" aca="1" ref="D627" ca="1">RIGHT(INDIRECT(ADDRESS(6,2,,,$A627)),6)</f>
        <v>#VALUE!</v>
      </c>
      <c r="E627" s="1" t="e" cm="1">
        <f t="array" aca="1" ref="E627" ca="1">RIGHT(INDIRECT(ADDRESS(4,2,,,$A627)),5)</f>
        <v>#VALUE!</v>
      </c>
      <c r="F627" s="22">
        <v>1.0335000000000001</v>
      </c>
      <c r="G627" s="22">
        <f t="shared" si="158"/>
        <v>1.0325</v>
      </c>
      <c r="H627" s="7">
        <v>5</v>
      </c>
      <c r="I627" s="7">
        <v>3</v>
      </c>
      <c r="J627" s="26">
        <v>4</v>
      </c>
      <c r="K627" s="26"/>
      <c r="L627" s="26" t="s">
        <v>350</v>
      </c>
      <c r="M627" s="26" t="s">
        <v>351</v>
      </c>
      <c r="N627" s="9" t="str">
        <f>LEFT(INDEX('2026_STANFORD_Heart_Lung'!$A$1:$E$30,MATCH($H627,'2026_STANFORD_Heart_Lung'!$A$1:$A$30),MATCH(I627,'2026_STANFORD_Heart_Lung'!$A$1:$D$1)),30)</f>
        <v>**Heart cases will be reimburs</v>
      </c>
      <c r="O627" s="16">
        <v>1174422</v>
      </c>
      <c r="P627" s="507">
        <f t="shared" si="168"/>
        <v>1212591</v>
      </c>
      <c r="Q627" s="14" t="s">
        <v>353</v>
      </c>
    </row>
    <row r="628" spans="1:17">
      <c r="A628" s="1" t="e">
        <f ca="1">'2026_STANFORD_Heart_Lung'!$A$1</f>
        <v>#VALUE!</v>
      </c>
      <c r="B628" s="14" t="e">
        <f t="shared" ca="1" si="164"/>
        <v>#VALUE!</v>
      </c>
      <c r="C628" s="1" t="s">
        <v>380</v>
      </c>
      <c r="D628" s="4" t="e" cm="1">
        <f t="array" aca="1" ref="D628" ca="1">RIGHT(INDIRECT(ADDRESS(6,2,,,$A628)),6)</f>
        <v>#VALUE!</v>
      </c>
      <c r="E628" s="1" t="e" cm="1">
        <f t="array" aca="1" ref="E628" ca="1">RIGHT(INDIRECT(ADDRESS(4,2,,,$A628)),5)</f>
        <v>#VALUE!</v>
      </c>
      <c r="F628" s="22">
        <v>1.0335000000000001</v>
      </c>
      <c r="G628" s="22">
        <f t="shared" si="158"/>
        <v>1.0325</v>
      </c>
      <c r="H628" s="7">
        <v>6</v>
      </c>
      <c r="I628" s="7">
        <v>3</v>
      </c>
      <c r="J628" s="26">
        <v>4</v>
      </c>
      <c r="K628" s="26"/>
      <c r="L628" s="26" t="s">
        <v>350</v>
      </c>
      <c r="M628" s="26" t="s">
        <v>351</v>
      </c>
      <c r="N628" s="9" t="str">
        <f>LEFT(INDEX('2026_STANFORD_Heart_Lung'!$A$1:$E$30,MATCH($H628,'2026_STANFORD_Heart_Lung'!$A$1:$A$30),MATCH(I628,'2026_STANFORD_Heart_Lung'!$A$1:$D$1)),30)</f>
        <v>Rate Above Threshold</v>
      </c>
      <c r="O628" s="16">
        <v>0.4</v>
      </c>
      <c r="P628" s="507">
        <f t="shared" ref="P628:P629" si="169">O628</f>
        <v>0.4</v>
      </c>
      <c r="Q628" s="14" t="s">
        <v>354</v>
      </c>
    </row>
    <row r="629" spans="1:17">
      <c r="A629" s="1" t="e">
        <f ca="1">'2026_STANFORD_Heart_Lung'!$A$1</f>
        <v>#VALUE!</v>
      </c>
      <c r="B629" s="14" t="e">
        <f t="shared" ca="1" si="164"/>
        <v>#VALUE!</v>
      </c>
      <c r="C629" s="1" t="s">
        <v>380</v>
      </c>
      <c r="D629" s="4" t="e" cm="1">
        <f t="array" aca="1" ref="D629" ca="1">RIGHT(INDIRECT(ADDRESS(6,2,,,$A629)),6)</f>
        <v>#VALUE!</v>
      </c>
      <c r="E629" s="1" t="e" cm="1">
        <f t="array" aca="1" ref="E629" ca="1">RIGHT(INDIRECT(ADDRESS(4,2,,,$A629)),5)</f>
        <v>#VALUE!</v>
      </c>
      <c r="F629" s="22">
        <v>1.0335000000000001</v>
      </c>
      <c r="G629" s="22">
        <f t="shared" si="158"/>
        <v>1.0325</v>
      </c>
      <c r="H629" s="7">
        <v>7</v>
      </c>
      <c r="I629" s="7">
        <v>3</v>
      </c>
      <c r="J629" s="26">
        <v>4</v>
      </c>
      <c r="K629" s="26"/>
      <c r="L629" s="26" t="s">
        <v>350</v>
      </c>
      <c r="M629" s="26" t="s">
        <v>351</v>
      </c>
      <c r="N629" s="9" t="str">
        <f>LEFT(INDEX('2026_STANFORD_Heart_Lung'!$A$1:$E$30,MATCH($H629,'2026_STANFORD_Heart_Lung'!$A$1:$A$30),MATCH(I629,'2026_STANFORD_Heart_Lung'!$A$1:$D$1)),30)</f>
        <v>Days 61+ through date of disch</v>
      </c>
      <c r="O629" s="16">
        <v>0.4</v>
      </c>
      <c r="P629" s="507">
        <f t="shared" si="169"/>
        <v>0.4</v>
      </c>
      <c r="Q629" s="14" t="s">
        <v>354</v>
      </c>
    </row>
    <row r="630" spans="1:17">
      <c r="A630" s="1" t="e">
        <f ca="1">'2026_UCSF_PED_ALLO_UNR_MUDSCID'!$A$1</f>
        <v>#VALUE!</v>
      </c>
      <c r="B630" s="14" t="e">
        <f t="shared" ca="1" si="164"/>
        <v>#VALUE!</v>
      </c>
      <c r="C630" s="1" t="s">
        <v>381</v>
      </c>
      <c r="D630" s="4" t="e" cm="1">
        <f t="array" aca="1" ref="D630" ca="1">RIGHT(INDIRECT(ADDRESS(6,2,,,$A630)),6)</f>
        <v>#VALUE!</v>
      </c>
      <c r="E630" s="1" t="e" cm="1">
        <f t="array" aca="1" ref="E630" ca="1">RIGHT(INDIRECT(ADDRESS(4,2,,,$A630)),5)</f>
        <v>#VALUE!</v>
      </c>
      <c r="F630" s="22">
        <v>1.0335000000000001</v>
      </c>
      <c r="G630" s="22">
        <f t="shared" si="158"/>
        <v>1.0325</v>
      </c>
      <c r="H630" s="7">
        <v>1</v>
      </c>
      <c r="I630" s="7">
        <v>3</v>
      </c>
      <c r="J630" s="26">
        <v>4</v>
      </c>
      <c r="K630" s="26"/>
      <c r="L630" s="26" t="s">
        <v>350</v>
      </c>
      <c r="M630" s="26" t="s">
        <v>351</v>
      </c>
      <c r="N630" s="9" t="str">
        <f>LEFT(INDEX('2026_UCSF_PED_ALLO_UNR_MUDSCID'!$A$1:$E$30,MATCH($H630,'2026_UCSF_PED_ALLO_UNR_MUDSCID'!$A$1:$A$30),MATCH(I630,'2026_UCSF_PED_ALLO_UNR_MUDSCID'!$A$1:$D$1)),30)</f>
        <v>OUTPATIENT EVALUATION* - Initi</v>
      </c>
      <c r="O630" s="16">
        <v>6583</v>
      </c>
      <c r="P630" s="507">
        <f t="shared" ref="P630:P631" si="170">ROUND(O630*$G$2,0)</f>
        <v>6797</v>
      </c>
    </row>
    <row r="631" spans="1:17">
      <c r="A631" s="1" t="e">
        <f ca="1">'2026_UCSF_PED_ALLO_UNR_MUDSCID'!$A$1</f>
        <v>#VALUE!</v>
      </c>
      <c r="B631" s="14" t="e">
        <f t="shared" ca="1" si="164"/>
        <v>#VALUE!</v>
      </c>
      <c r="C631" s="1" t="s">
        <v>381</v>
      </c>
      <c r="D631" s="4" t="e" cm="1">
        <f t="array" aca="1" ref="D631" ca="1">RIGHT(INDIRECT(ADDRESS(6,2,,,$A631)),6)</f>
        <v>#VALUE!</v>
      </c>
      <c r="E631" s="1" t="e" cm="1">
        <f t="array" aca="1" ref="E631" ca="1">RIGHT(INDIRECT(ADDRESS(4,2,,,$A631)),5)</f>
        <v>#VALUE!</v>
      </c>
      <c r="F631" s="22">
        <v>1.0335000000000001</v>
      </c>
      <c r="G631" s="22">
        <f t="shared" si="158"/>
        <v>1.0325</v>
      </c>
      <c r="H631" s="7">
        <v>2</v>
      </c>
      <c r="I631" s="7">
        <v>3</v>
      </c>
      <c r="J631" s="26">
        <v>4</v>
      </c>
      <c r="K631" s="26"/>
      <c r="L631" s="26" t="s">
        <v>350</v>
      </c>
      <c r="M631" s="26" t="s">
        <v>351</v>
      </c>
      <c r="N631" s="9" t="str">
        <f>LEFT(INDEX('2026_UCSF_PED_ALLO_UNR_MUDSCID'!$A$1:$E$30,MATCH($H631,'2026_UCSF_PED_ALLO_UNR_MUDSCID'!$A$1:$A$30),MATCH(I631,'2026_UCSF_PED_ALLO_UNR_MUDSCID'!$A$1:$D$1)),30)</f>
        <v>DONOR SEARCH</v>
      </c>
      <c r="O631" s="16">
        <v>36183</v>
      </c>
      <c r="P631" s="507">
        <f t="shared" si="170"/>
        <v>37359</v>
      </c>
    </row>
    <row r="632" spans="1:17">
      <c r="A632" s="1" t="e">
        <f ca="1">'2026_UCSF_PED_ALLO_UNR_MUDSCID'!$A$1</f>
        <v>#VALUE!</v>
      </c>
      <c r="B632" s="14" t="e">
        <f t="shared" ca="1" si="164"/>
        <v>#VALUE!</v>
      </c>
      <c r="C632" s="1" t="s">
        <v>381</v>
      </c>
      <c r="D632" s="4" t="e" cm="1">
        <f t="array" aca="1" ref="D632" ca="1">RIGHT(INDIRECT(ADDRESS(6,2,,,$A632)),6)</f>
        <v>#VALUE!</v>
      </c>
      <c r="E632" s="1" t="e" cm="1">
        <f t="array" aca="1" ref="E632" ca="1">RIGHT(INDIRECT(ADDRESS(4,2,,,$A632)),5)</f>
        <v>#VALUE!</v>
      </c>
      <c r="F632" s="22">
        <v>1.0335000000000001</v>
      </c>
      <c r="G632" s="22">
        <f t="shared" si="158"/>
        <v>1.0325</v>
      </c>
      <c r="H632" s="7">
        <v>3</v>
      </c>
      <c r="I632" s="7">
        <v>3</v>
      </c>
      <c r="J632" s="26">
        <v>4</v>
      </c>
      <c r="K632" s="26"/>
      <c r="L632" s="26" t="s">
        <v>350</v>
      </c>
      <c r="M632" s="26" t="s">
        <v>351</v>
      </c>
      <c r="N632" s="9" t="str">
        <f>LEFT(INDEX('2026_UCSF_PED_ALLO_UNR_MUDSCID'!$A$1:$E$30,MATCH($H632,'2026_UCSF_PED_ALLO_UNR_MUDSCID'!$A$1:$A$30),MATCH(I632,'2026_UCSF_PED_ALLO_UNR_MUDSCID'!$A$1:$D$1)),30)</f>
        <v>DONOR HARVEST (includes stem c</v>
      </c>
      <c r="O632" s="16" t="s">
        <v>355</v>
      </c>
      <c r="P632" s="507" t="str">
        <f t="shared" ref="P632" si="171">O632</f>
        <v>NBMD or Cord blood Invoice Cost</v>
      </c>
      <c r="Q632" s="14" t="s">
        <v>354</v>
      </c>
    </row>
    <row r="633" spans="1:17">
      <c r="A633" s="1" t="e">
        <f ca="1">'2026_UCSF_PED_ALLO_UNR_MUDSCID'!$A$1</f>
        <v>#VALUE!</v>
      </c>
      <c r="B633" s="14" t="e">
        <f t="shared" ca="1" si="164"/>
        <v>#VALUE!</v>
      </c>
      <c r="C633" s="1" t="s">
        <v>381</v>
      </c>
      <c r="D633" s="4" t="e" cm="1">
        <f t="array" aca="1" ref="D633" ca="1">RIGHT(INDIRECT(ADDRESS(6,2,,,$A633)),6)</f>
        <v>#VALUE!</v>
      </c>
      <c r="E633" s="1" t="e" cm="1">
        <f t="array" aca="1" ref="E633" ca="1">RIGHT(INDIRECT(ADDRESS(4,2,,,$A633)),5)</f>
        <v>#VALUE!</v>
      </c>
      <c r="F633" s="22">
        <v>1.0335000000000001</v>
      </c>
      <c r="G633" s="22">
        <f t="shared" si="158"/>
        <v>1.0325</v>
      </c>
      <c r="H633" s="7">
        <v>4</v>
      </c>
      <c r="I633" s="7">
        <v>3</v>
      </c>
      <c r="J633" s="26">
        <v>4</v>
      </c>
      <c r="K633" s="26"/>
      <c r="L633" s="26" t="s">
        <v>350</v>
      </c>
      <c r="M633" s="26" t="s">
        <v>351</v>
      </c>
      <c r="N633" s="9" t="str">
        <f>LEFT(INDEX('2026_UCSF_PED_ALLO_UNR_MUDSCID'!$A$1:$E$30,MATCH($H633,'2026_UCSF_PED_ALLO_UNR_MUDSCID'!$A$1:$A$30),MATCH(I633,'2026_UCSF_PED_ALLO_UNR_MUDSCID'!$A$1:$D$1)),30)</f>
        <v>PREP AND TRANSPLANT</v>
      </c>
      <c r="O633" s="16">
        <v>65129</v>
      </c>
      <c r="P633" s="507">
        <f t="shared" ref="P633:P637" si="172">ROUND(O633*$G$2,0)</f>
        <v>67246</v>
      </c>
    </row>
    <row r="634" spans="1:17">
      <c r="A634" s="1" t="e">
        <f ca="1">'2026_UCSF_PED_ALLO_UNR_MUDSCID'!$A$1</f>
        <v>#VALUE!</v>
      </c>
      <c r="B634" s="14" t="e">
        <f t="shared" ca="1" si="164"/>
        <v>#VALUE!</v>
      </c>
      <c r="C634" s="1" t="s">
        <v>381</v>
      </c>
      <c r="D634" s="4" t="e" cm="1">
        <f t="array" aca="1" ref="D634" ca="1">RIGHT(INDIRECT(ADDRESS(6,2,,,$A634)),6)</f>
        <v>#VALUE!</v>
      </c>
      <c r="E634" s="1" t="e" cm="1">
        <f t="array" aca="1" ref="E634" ca="1">RIGHT(INDIRECT(ADDRESS(4,2,,,$A634)),5)</f>
        <v>#VALUE!</v>
      </c>
      <c r="F634" s="22">
        <v>1.0335000000000001</v>
      </c>
      <c r="G634" s="22">
        <f t="shared" si="158"/>
        <v>1.0325</v>
      </c>
      <c r="H634" s="7">
        <v>5</v>
      </c>
      <c r="I634" s="7">
        <v>3</v>
      </c>
      <c r="J634" s="26">
        <v>4</v>
      </c>
      <c r="K634" s="26"/>
      <c r="L634" s="26" t="s">
        <v>350</v>
      </c>
      <c r="M634" s="26" t="s">
        <v>351</v>
      </c>
      <c r="N634" s="9" t="str">
        <f>LEFT(INDEX('2026_UCSF_PED_ALLO_UNR_MUDSCID'!$A$1:$E$30,MATCH($H634,'2026_UCSF_PED_ALLO_UNR_MUDSCID'!$A$1:$A$30),MATCH(I634,'2026_UCSF_PED_ALLO_UNR_MUDSCID'!$A$1:$D$1)),30)</f>
        <v>FOLLOW UP CARE - From day 1 po</v>
      </c>
      <c r="O634" s="16">
        <v>167889</v>
      </c>
      <c r="P634" s="507">
        <f t="shared" si="172"/>
        <v>173345</v>
      </c>
    </row>
    <row r="635" spans="1:17">
      <c r="A635" s="1" t="e">
        <f ca="1">'2026_UCSF_PED_ALLO_UNR_MUDSCID'!$A$1</f>
        <v>#VALUE!</v>
      </c>
      <c r="B635" s="14" t="e">
        <f t="shared" ca="1" si="164"/>
        <v>#VALUE!</v>
      </c>
      <c r="C635" s="1" t="s">
        <v>381</v>
      </c>
      <c r="D635" s="4" t="e" cm="1">
        <f t="array" aca="1" ref="D635" ca="1">RIGHT(INDIRECT(ADDRESS(6,2,,,$A635)),6)</f>
        <v>#VALUE!</v>
      </c>
      <c r="E635" s="1" t="e" cm="1">
        <f t="array" aca="1" ref="E635" ca="1">RIGHT(INDIRECT(ADDRESS(4,2,,,$A635)),5)</f>
        <v>#VALUE!</v>
      </c>
      <c r="F635" s="22">
        <v>1.0335000000000001</v>
      </c>
      <c r="G635" s="22">
        <f t="shared" si="158"/>
        <v>1.0325</v>
      </c>
      <c r="H635" s="7">
        <v>6</v>
      </c>
      <c r="I635" s="7">
        <v>3</v>
      </c>
      <c r="J635" s="26">
        <v>4</v>
      </c>
      <c r="K635" s="26"/>
      <c r="L635" s="26" t="s">
        <v>350</v>
      </c>
      <c r="M635" s="26" t="s">
        <v>351</v>
      </c>
      <c r="N635" s="9" t="str">
        <f>LEFT(INDEX('2026_UCSF_PED_ALLO_UNR_MUDSCID'!$A$1:$E$30,MATCH($H635,'2026_UCSF_PED_ALLO_UNR_MUDSCID'!$A$1:$A$30),MATCH(I635,'2026_UCSF_PED_ALLO_UNR_MUDSCID'!$A$1:$D$1)),30)</f>
        <v xml:space="preserve">FOLLOW UP CARE - From day 31  </v>
      </c>
      <c r="O635" s="16">
        <v>31118</v>
      </c>
      <c r="P635" s="507">
        <f t="shared" si="172"/>
        <v>32129</v>
      </c>
    </row>
    <row r="636" spans="1:17">
      <c r="A636" s="1" t="e">
        <f ca="1">'2026_UCSF_PED_ALLO_UNR_MUDSCID'!$A$1</f>
        <v>#VALUE!</v>
      </c>
      <c r="B636" s="14" t="e">
        <f t="shared" ca="1" si="164"/>
        <v>#VALUE!</v>
      </c>
      <c r="C636" s="1" t="s">
        <v>381</v>
      </c>
      <c r="D636" s="4" t="e" cm="1">
        <f t="array" aca="1" ref="D636" ca="1">RIGHT(INDIRECT(ADDRESS(6,2,,,$A636)),6)</f>
        <v>#VALUE!</v>
      </c>
      <c r="E636" s="1" t="e" cm="1">
        <f t="array" aca="1" ref="E636" ca="1">RIGHT(INDIRECT(ADDRESS(4,2,,,$A636)),5)</f>
        <v>#VALUE!</v>
      </c>
      <c r="F636" s="22">
        <v>1.0335000000000001</v>
      </c>
      <c r="G636" s="22">
        <f t="shared" si="158"/>
        <v>1.0325</v>
      </c>
      <c r="H636" s="7">
        <v>7</v>
      </c>
      <c r="I636" s="7">
        <v>3</v>
      </c>
      <c r="J636" s="26">
        <v>4</v>
      </c>
      <c r="K636" s="26"/>
      <c r="L636" s="26" t="s">
        <v>350</v>
      </c>
      <c r="M636" s="26" t="s">
        <v>351</v>
      </c>
      <c r="N636" s="9" t="str">
        <f>LEFT(INDEX('2026_UCSF_PED_ALLO_UNR_MUDSCID'!$A$1:$E$30,MATCH($H636,'2026_UCSF_PED_ALLO_UNR_MUDSCID'!$A$1:$A$30),MATCH(I636,'2026_UCSF_PED_ALLO_UNR_MUDSCID'!$A$1:$D$1)),30)</f>
        <v>ROOM &amp; BOARD-PER DIEM</v>
      </c>
      <c r="O636" s="16">
        <v>176</v>
      </c>
      <c r="P636" s="507">
        <f t="shared" si="172"/>
        <v>182</v>
      </c>
    </row>
    <row r="637" spans="1:17">
      <c r="A637" s="1" t="e">
        <f ca="1">'2026_UCSF_PED_ALLO_UNR_MUDSCID'!$A$1</f>
        <v>#VALUE!</v>
      </c>
      <c r="B637" s="14" t="e">
        <f t="shared" ca="1" si="164"/>
        <v>#VALUE!</v>
      </c>
      <c r="C637" s="1" t="s">
        <v>381</v>
      </c>
      <c r="D637" s="4" t="e" cm="1">
        <f t="array" aca="1" ref="D637" ca="1">RIGHT(INDIRECT(ADDRESS(6,2,,,$A637)),6)</f>
        <v>#VALUE!</v>
      </c>
      <c r="E637" s="1" t="e" cm="1">
        <f t="array" aca="1" ref="E637" ca="1">RIGHT(INDIRECT(ADDRESS(4,2,,,$A637)),5)</f>
        <v>#VALUE!</v>
      </c>
      <c r="F637" s="22">
        <v>1.0335000000000001</v>
      </c>
      <c r="G637" s="22">
        <f t="shared" si="158"/>
        <v>1.0325</v>
      </c>
      <c r="H637" s="7">
        <v>8</v>
      </c>
      <c r="I637" s="7">
        <v>3</v>
      </c>
      <c r="J637" s="26">
        <v>4</v>
      </c>
      <c r="K637" s="26"/>
      <c r="L637" s="26" t="s">
        <v>350</v>
      </c>
      <c r="M637" s="26" t="s">
        <v>351</v>
      </c>
      <c r="N637" s="9" t="str">
        <f>LEFT(INDEX('2026_UCSF_PED_ALLO_UNR_MUDSCID'!$A$1:$E$30,MATCH($H637,'2026_UCSF_PED_ALLO_UNR_MUDSCID'!$A$1:$A$30),MATCH(I637,'2026_UCSF_PED_ALLO_UNR_MUDSCID'!$A$1:$D$1)),30)</f>
        <v xml:space="preserve">PER DIEM RATES for day 61+ of </v>
      </c>
      <c r="O637" s="16">
        <v>2474</v>
      </c>
      <c r="P637" s="507">
        <f t="shared" si="172"/>
        <v>2554</v>
      </c>
    </row>
    <row r="638" spans="1:17">
      <c r="A638" s="1" t="e">
        <f ca="1">'2026_UCSF_PED_ALLO_UNR_MUDSCID'!$A$1</f>
        <v>#VALUE!</v>
      </c>
      <c r="B638" s="14" t="e">
        <f t="shared" ca="1" si="164"/>
        <v>#VALUE!</v>
      </c>
      <c r="C638" s="1" t="s">
        <v>381</v>
      </c>
      <c r="D638" s="4" t="e" cm="1">
        <f t="array" aca="1" ref="D638" ca="1">RIGHT(INDIRECT(ADDRESS(6,2,,,$A638)),6)</f>
        <v>#VALUE!</v>
      </c>
      <c r="E638" s="1" t="e" cm="1">
        <f t="array" aca="1" ref="E638" ca="1">RIGHT(INDIRECT(ADDRESS(4,2,,,$A638)),5)</f>
        <v>#VALUE!</v>
      </c>
      <c r="F638" s="22">
        <v>1.0335000000000001</v>
      </c>
      <c r="G638" s="22">
        <f t="shared" si="158"/>
        <v>1.0325</v>
      </c>
      <c r="H638" s="7">
        <v>9</v>
      </c>
      <c r="I638" s="7">
        <v>3</v>
      </c>
      <c r="J638" s="26">
        <v>4</v>
      </c>
      <c r="K638" s="26"/>
      <c r="L638" s="26" t="s">
        <v>350</v>
      </c>
      <c r="M638" s="26" t="s">
        <v>351</v>
      </c>
      <c r="N638" s="9" t="str">
        <f>LEFT(INDEX('2026_UCSF_PED_ALLO_UNR_MUDSCID'!$A$1:$E$30,MATCH($H638,'2026_UCSF_PED_ALLO_UNR_MUDSCID'!$A$1:$A$30),MATCH(I638,'2026_UCSF_PED_ALLO_UNR_MUDSCID'!$A$1:$D$1)),30)</f>
        <v>Days 11+/61+ paid at the per d</v>
      </c>
      <c r="O638" s="16">
        <v>7263.18</v>
      </c>
      <c r="P638" s="509">
        <f>O638*$Q$2</f>
        <v>8014.1928120000002</v>
      </c>
      <c r="Q638" s="14" t="s">
        <v>352</v>
      </c>
    </row>
    <row r="639" spans="1:17">
      <c r="A639" s="1" t="e">
        <f ca="1">'2026_UCSF_PED_ALLO_UNR_MUDSCID'!$A$1</f>
        <v>#VALUE!</v>
      </c>
      <c r="B639" s="14" t="e">
        <f t="shared" ca="1" si="164"/>
        <v>#VALUE!</v>
      </c>
      <c r="C639" s="1" t="s">
        <v>381</v>
      </c>
      <c r="D639" s="4" t="e" cm="1">
        <f t="array" aca="1" ref="D639" ca="1">RIGHT(INDIRECT(ADDRESS(6,2,,,$A639)),6)</f>
        <v>#VALUE!</v>
      </c>
      <c r="E639" s="1" t="e" cm="1">
        <f t="array" aca="1" ref="E639" ca="1">RIGHT(INDIRECT(ADDRESS(4,2,,,$A639)),5)</f>
        <v>#VALUE!</v>
      </c>
      <c r="F639" s="22">
        <v>1.0335000000000001</v>
      </c>
      <c r="G639" s="22">
        <f t="shared" si="158"/>
        <v>1.0325</v>
      </c>
      <c r="H639" s="7">
        <v>10</v>
      </c>
      <c r="I639" s="7">
        <v>3</v>
      </c>
      <c r="J639" s="26">
        <v>4</v>
      </c>
      <c r="K639" s="26"/>
      <c r="L639" s="26" t="s">
        <v>350</v>
      </c>
      <c r="M639" s="26" t="s">
        <v>351</v>
      </c>
      <c r="N639" s="9" t="str">
        <f>LEFT(INDEX('2026_UCSF_PED_ALLO_UNR_MUDSCID'!$A$1:$E$30,MATCH($H639,'2026_UCSF_PED_ALLO_UNR_MUDSCID'!$A$1:$A$30),MATCH(I639,'2026_UCSF_PED_ALLO_UNR_MUDSCID'!$A$1:$D$1)),30)</f>
        <v>Outlier:  If charges exceed th</v>
      </c>
      <c r="O639" s="16">
        <v>677055</v>
      </c>
      <c r="P639" s="507">
        <f t="shared" ref="P639" si="173">ROUND(O639*$G$2,0)</f>
        <v>699059</v>
      </c>
      <c r="Q639" s="14" t="s">
        <v>353</v>
      </c>
    </row>
    <row r="640" spans="1:17">
      <c r="A640" s="1" t="e">
        <f ca="1">'2026_UCSF_PED_ALLO_UNR_MUDSCID'!$A$1</f>
        <v>#VALUE!</v>
      </c>
      <c r="B640" s="14" t="e">
        <f t="shared" ca="1" si="164"/>
        <v>#VALUE!</v>
      </c>
      <c r="C640" s="1" t="s">
        <v>381</v>
      </c>
      <c r="D640" s="4" t="e" cm="1">
        <f t="array" aca="1" ref="D640" ca="1">RIGHT(INDIRECT(ADDRESS(6,2,,,$A640)),6)</f>
        <v>#VALUE!</v>
      </c>
      <c r="E640" s="1" t="e" cm="1">
        <f t="array" aca="1" ref="E640" ca="1">RIGHT(INDIRECT(ADDRESS(4,2,,,$A640)),5)</f>
        <v>#VALUE!</v>
      </c>
      <c r="F640" s="22">
        <v>1.0335000000000001</v>
      </c>
      <c r="G640" s="22">
        <f t="shared" si="158"/>
        <v>1.0325</v>
      </c>
      <c r="H640" s="7">
        <v>11</v>
      </c>
      <c r="I640" s="7">
        <v>3</v>
      </c>
      <c r="J640" s="26">
        <v>4</v>
      </c>
      <c r="K640" s="26"/>
      <c r="L640" s="26" t="s">
        <v>350</v>
      </c>
      <c r="M640" s="26" t="s">
        <v>351</v>
      </c>
      <c r="N640" s="9" t="str">
        <f>LEFT(INDEX('2026_UCSF_PED_ALLO_UNR_MUDSCID'!$A$1:$E$30,MATCH($H640,'2026_UCSF_PED_ALLO_UNR_MUDSCID'!$A$1:$A$30),MATCH(I640,'2026_UCSF_PED_ALLO_UNR_MUDSCID'!$A$1:$D$1)),30)</f>
        <v>Rate Above Threshold</v>
      </c>
      <c r="O640" s="16">
        <v>0.5</v>
      </c>
      <c r="P640" s="507">
        <f t="shared" ref="P640" si="174">O640</f>
        <v>0.5</v>
      </c>
      <c r="Q640" s="14" t="s">
        <v>354</v>
      </c>
    </row>
    <row r="641" spans="1:17">
      <c r="A641" s="1" t="e">
        <f ca="1">'2026_UCSF_PED_ALLO_REL_SCIDS'!$A$1</f>
        <v>#VALUE!</v>
      </c>
      <c r="B641" s="14" t="e">
        <f t="shared" ca="1" si="164"/>
        <v>#VALUE!</v>
      </c>
      <c r="C641" s="1" t="s">
        <v>381</v>
      </c>
      <c r="D641" s="4" t="e" cm="1">
        <f t="array" aca="1" ref="D641" ca="1">RIGHT(INDIRECT(ADDRESS(6,2,,,$A641)),6)</f>
        <v>#VALUE!</v>
      </c>
      <c r="E641" s="1" t="e" cm="1">
        <f t="array" aca="1" ref="E641" ca="1">RIGHT(INDIRECT(ADDRESS(4,2,,,$A641)),5)</f>
        <v>#VALUE!</v>
      </c>
      <c r="F641" s="22">
        <v>1.0335000000000001</v>
      </c>
      <c r="G641" s="22">
        <f t="shared" si="158"/>
        <v>1.0325</v>
      </c>
      <c r="H641" s="7">
        <v>1</v>
      </c>
      <c r="I641" s="7">
        <v>3</v>
      </c>
      <c r="J641" s="26">
        <v>4</v>
      </c>
      <c r="K641" s="26"/>
      <c r="L641" s="26" t="s">
        <v>350</v>
      </c>
      <c r="M641" s="26" t="s">
        <v>351</v>
      </c>
      <c r="N641" s="9" t="str">
        <f>LEFT(INDEX('2026_UCSF_PED_ALLO_REL_SCIDS'!$A$1:$E$30,MATCH($H641,'2026_UCSF_PED_ALLO_REL_SCIDS'!$A$1:$A$30),MATCH(I641,'2026_UCSF_PED_ALLO_REL_SCIDS'!$A$1:$D$1)),30)</f>
        <v>OUTPATIENT EVALUATION* - Initi</v>
      </c>
      <c r="O641" s="16">
        <v>6348</v>
      </c>
      <c r="P641" s="507">
        <f t="shared" ref="P641:P648" si="175">ROUND(O641*$G$2,0)</f>
        <v>6554</v>
      </c>
    </row>
    <row r="642" spans="1:17">
      <c r="A642" s="1" t="e">
        <f ca="1">'2026_UCSF_PED_ALLO_REL_SCIDS'!$A$1</f>
        <v>#VALUE!</v>
      </c>
      <c r="B642" s="14" t="e">
        <f t="shared" ca="1" si="164"/>
        <v>#VALUE!</v>
      </c>
      <c r="C642" s="1" t="s">
        <v>381</v>
      </c>
      <c r="D642" s="4" t="e" cm="1">
        <f t="array" aca="1" ref="D642" ca="1">RIGHT(INDIRECT(ADDRESS(6,2,,,$A642)),6)</f>
        <v>#VALUE!</v>
      </c>
      <c r="E642" s="1" t="e" cm="1">
        <f t="array" aca="1" ref="E642" ca="1">RIGHT(INDIRECT(ADDRESS(4,2,,,$A642)),5)</f>
        <v>#VALUE!</v>
      </c>
      <c r="F642" s="22">
        <v>1.0335000000000001</v>
      </c>
      <c r="G642" s="22">
        <f t="shared" si="158"/>
        <v>1.0325</v>
      </c>
      <c r="H642" s="7">
        <v>2</v>
      </c>
      <c r="I642" s="7">
        <v>3</v>
      </c>
      <c r="J642" s="26">
        <v>4</v>
      </c>
      <c r="K642" s="26"/>
      <c r="L642" s="26" t="s">
        <v>350</v>
      </c>
      <c r="M642" s="26" t="s">
        <v>351</v>
      </c>
      <c r="N642" s="9" t="str">
        <f>LEFT(INDEX('2026_UCSF_PED_ALLO_REL_SCIDS'!$A$1:$E$30,MATCH($H642,'2026_UCSF_PED_ALLO_REL_SCIDS'!$A$1:$A$30),MATCH(I642,'2026_UCSF_PED_ALLO_REL_SCIDS'!$A$1:$D$1)),30)</f>
        <v>DONOR SEARCH</v>
      </c>
      <c r="O642" s="16">
        <v>2894</v>
      </c>
      <c r="P642" s="507">
        <f t="shared" si="175"/>
        <v>2988</v>
      </c>
    </row>
    <row r="643" spans="1:17">
      <c r="A643" s="1" t="e">
        <f ca="1">'2026_UCSF_PED_ALLO_REL_SCIDS'!$A$1</f>
        <v>#VALUE!</v>
      </c>
      <c r="B643" s="14" t="e">
        <f t="shared" ca="1" si="164"/>
        <v>#VALUE!</v>
      </c>
      <c r="C643" s="1" t="s">
        <v>381</v>
      </c>
      <c r="D643" s="4" t="e" cm="1">
        <f t="array" aca="1" ref="D643" ca="1">RIGHT(INDIRECT(ADDRESS(6,2,,,$A643)),6)</f>
        <v>#VALUE!</v>
      </c>
      <c r="E643" s="1" t="e" cm="1">
        <f t="array" aca="1" ref="E643" ca="1">RIGHT(INDIRECT(ADDRESS(4,2,,,$A643)),5)</f>
        <v>#VALUE!</v>
      </c>
      <c r="F643" s="22">
        <v>1.0335000000000001</v>
      </c>
      <c r="G643" s="22">
        <f t="shared" si="158"/>
        <v>1.0325</v>
      </c>
      <c r="H643" s="7">
        <v>3</v>
      </c>
      <c r="I643" s="7">
        <v>3</v>
      </c>
      <c r="J643" s="26">
        <v>4</v>
      </c>
      <c r="K643" s="26"/>
      <c r="L643" s="26" t="s">
        <v>350</v>
      </c>
      <c r="M643" s="26" t="s">
        <v>351</v>
      </c>
      <c r="N643" s="9" t="str">
        <f>LEFT(INDEX('2026_UCSF_PED_ALLO_REL_SCIDS'!$A$1:$E$30,MATCH($H643,'2026_UCSF_PED_ALLO_REL_SCIDS'!$A$1:$A$30),MATCH(I643,'2026_UCSF_PED_ALLO_REL_SCIDS'!$A$1:$D$1)),30)</f>
        <v>DONOR HARVEST (includes stem c</v>
      </c>
      <c r="O643" s="16">
        <v>13025</v>
      </c>
      <c r="P643" s="507">
        <f t="shared" si="175"/>
        <v>13448</v>
      </c>
    </row>
    <row r="644" spans="1:17">
      <c r="A644" s="1" t="e">
        <f ca="1">'2026_UCSF_PED_ALLO_REL_SCIDS'!$A$1</f>
        <v>#VALUE!</v>
      </c>
      <c r="B644" s="14" t="e">
        <f t="shared" ca="1" si="164"/>
        <v>#VALUE!</v>
      </c>
      <c r="C644" s="1" t="s">
        <v>381</v>
      </c>
      <c r="D644" s="4" t="e" cm="1">
        <f t="array" aca="1" ref="D644" ca="1">RIGHT(INDIRECT(ADDRESS(6,2,,,$A644)),6)</f>
        <v>#VALUE!</v>
      </c>
      <c r="E644" s="1" t="e" cm="1">
        <f t="array" aca="1" ref="E644" ca="1">RIGHT(INDIRECT(ADDRESS(4,2,,,$A644)),5)</f>
        <v>#VALUE!</v>
      </c>
      <c r="F644" s="22">
        <v>1.0335000000000001</v>
      </c>
      <c r="G644" s="22">
        <f t="shared" si="158"/>
        <v>1.0325</v>
      </c>
      <c r="H644" s="7">
        <v>4</v>
      </c>
      <c r="I644" s="7">
        <v>3</v>
      </c>
      <c r="J644" s="26">
        <v>4</v>
      </c>
      <c r="K644" s="26"/>
      <c r="L644" s="26" t="s">
        <v>350</v>
      </c>
      <c r="M644" s="26" t="s">
        <v>351</v>
      </c>
      <c r="N644" s="9" t="str">
        <f>LEFT(INDEX('2026_UCSF_PED_ALLO_REL_SCIDS'!$A$1:$E$30,MATCH($H644,'2026_UCSF_PED_ALLO_REL_SCIDS'!$A$1:$A$30),MATCH(I644,'2026_UCSF_PED_ALLO_REL_SCIDS'!$A$1:$D$1)),30)</f>
        <v>PREP AND TRANSPLANT</v>
      </c>
      <c r="O644" s="16">
        <v>57893</v>
      </c>
      <c r="P644" s="507">
        <f t="shared" si="175"/>
        <v>59775</v>
      </c>
    </row>
    <row r="645" spans="1:17">
      <c r="A645" s="1" t="e">
        <f ca="1">'2026_UCSF_PED_ALLO_REL_SCIDS'!$A$1</f>
        <v>#VALUE!</v>
      </c>
      <c r="B645" s="14" t="e">
        <f t="shared" ca="1" si="164"/>
        <v>#VALUE!</v>
      </c>
      <c r="C645" s="1" t="s">
        <v>381</v>
      </c>
      <c r="D645" s="4" t="e" cm="1">
        <f t="array" aca="1" ref="D645" ca="1">RIGHT(INDIRECT(ADDRESS(6,2,,,$A645)),6)</f>
        <v>#VALUE!</v>
      </c>
      <c r="E645" s="1" t="e" cm="1">
        <f t="array" aca="1" ref="E645" ca="1">RIGHT(INDIRECT(ADDRESS(4,2,,,$A645)),5)</f>
        <v>#VALUE!</v>
      </c>
      <c r="F645" s="22">
        <v>1.0335000000000001</v>
      </c>
      <c r="G645" s="22">
        <f t="shared" ref="G645:G661" si="176">$G$2</f>
        <v>1.0325</v>
      </c>
      <c r="H645" s="7">
        <v>5</v>
      </c>
      <c r="I645" s="7">
        <v>3</v>
      </c>
      <c r="J645" s="26">
        <v>4</v>
      </c>
      <c r="K645" s="26"/>
      <c r="L645" s="26" t="s">
        <v>350</v>
      </c>
      <c r="M645" s="26" t="s">
        <v>351</v>
      </c>
      <c r="N645" s="9" t="str">
        <f>LEFT(INDEX('2026_UCSF_PED_ALLO_REL_SCIDS'!$A$1:$E$30,MATCH($H645,'2026_UCSF_PED_ALLO_REL_SCIDS'!$A$1:$A$30),MATCH(I645,'2026_UCSF_PED_ALLO_REL_SCIDS'!$A$1:$D$1)),30)</f>
        <v>FOLLOW UP CARE - From day 1 po</v>
      </c>
      <c r="O645" s="16">
        <v>153416</v>
      </c>
      <c r="P645" s="507">
        <f t="shared" si="175"/>
        <v>158402</v>
      </c>
    </row>
    <row r="646" spans="1:17">
      <c r="A646" s="1" t="e">
        <f ca="1">'2026_UCSF_PED_ALLO_REL_SCIDS'!$A$1</f>
        <v>#VALUE!</v>
      </c>
      <c r="B646" s="14" t="e">
        <f t="shared" ca="1" si="164"/>
        <v>#VALUE!</v>
      </c>
      <c r="C646" s="1" t="s">
        <v>381</v>
      </c>
      <c r="D646" s="4" t="e" cm="1">
        <f t="array" aca="1" ref="D646" ca="1">RIGHT(INDIRECT(ADDRESS(6,2,,,$A646)),6)</f>
        <v>#VALUE!</v>
      </c>
      <c r="E646" s="1" t="e" cm="1">
        <f t="array" aca="1" ref="E646" ca="1">RIGHT(INDIRECT(ADDRESS(4,2,,,$A646)),5)</f>
        <v>#VALUE!</v>
      </c>
      <c r="F646" s="22">
        <v>1.0335000000000001</v>
      </c>
      <c r="G646" s="22">
        <f t="shared" si="176"/>
        <v>1.0325</v>
      </c>
      <c r="H646" s="7">
        <v>6</v>
      </c>
      <c r="I646" s="7">
        <v>3</v>
      </c>
      <c r="J646" s="26">
        <v>4</v>
      </c>
      <c r="K646" s="26"/>
      <c r="L646" s="26" t="s">
        <v>350</v>
      </c>
      <c r="M646" s="26" t="s">
        <v>351</v>
      </c>
      <c r="N646" s="9" t="str">
        <f>LEFT(INDEX('2026_UCSF_PED_ALLO_REL_SCIDS'!$A$1:$E$30,MATCH($H646,'2026_UCSF_PED_ALLO_REL_SCIDS'!$A$1:$A$30),MATCH(I646,'2026_UCSF_PED_ALLO_REL_SCIDS'!$A$1:$D$1)),30)</f>
        <v xml:space="preserve">FOLLOW UP CARE - From day 31  </v>
      </c>
      <c r="O646" s="16">
        <v>28944</v>
      </c>
      <c r="P646" s="507">
        <f t="shared" si="175"/>
        <v>29885</v>
      </c>
    </row>
    <row r="647" spans="1:17">
      <c r="A647" s="1" t="e">
        <f ca="1">'2026_UCSF_PED_ALLO_REL_SCIDS'!$A$1</f>
        <v>#VALUE!</v>
      </c>
      <c r="B647" s="14" t="e">
        <f t="shared" ca="1" si="164"/>
        <v>#VALUE!</v>
      </c>
      <c r="C647" s="1" t="s">
        <v>381</v>
      </c>
      <c r="D647" s="4" t="e" cm="1">
        <f t="array" aca="1" ref="D647" ca="1">RIGHT(INDIRECT(ADDRESS(6,2,,,$A647)),6)</f>
        <v>#VALUE!</v>
      </c>
      <c r="E647" s="1" t="e" cm="1">
        <f t="array" aca="1" ref="E647" ca="1">RIGHT(INDIRECT(ADDRESS(4,2,,,$A647)),5)</f>
        <v>#VALUE!</v>
      </c>
      <c r="F647" s="22">
        <v>1.0335000000000001</v>
      </c>
      <c r="G647" s="22">
        <f t="shared" si="176"/>
        <v>1.0325</v>
      </c>
      <c r="H647" s="7">
        <v>7</v>
      </c>
      <c r="I647" s="7">
        <v>3</v>
      </c>
      <c r="J647" s="26">
        <v>4</v>
      </c>
      <c r="K647" s="26"/>
      <c r="L647" s="26" t="s">
        <v>350</v>
      </c>
      <c r="M647" s="26" t="s">
        <v>351</v>
      </c>
      <c r="N647" s="9" t="str">
        <f>LEFT(INDEX('2026_UCSF_PED_ALLO_REL_SCIDS'!$A$1:$E$30,MATCH($H647,'2026_UCSF_PED_ALLO_REL_SCIDS'!$A$1:$A$30),MATCH(I647,'2026_UCSF_PED_ALLO_REL_SCIDS'!$A$1:$D$1)),30)</f>
        <v>ROOM &amp; BOARD-PER DIEM</v>
      </c>
      <c r="O647" s="16">
        <v>176</v>
      </c>
      <c r="P647" s="507">
        <f t="shared" si="175"/>
        <v>182</v>
      </c>
    </row>
    <row r="648" spans="1:17">
      <c r="A648" s="1" t="e">
        <f ca="1">'2026_UCSF_PED_ALLO_REL_SCIDS'!$A$1</f>
        <v>#VALUE!</v>
      </c>
      <c r="B648" s="14" t="e">
        <f t="shared" ca="1" si="164"/>
        <v>#VALUE!</v>
      </c>
      <c r="C648" s="1" t="s">
        <v>381</v>
      </c>
      <c r="D648" s="4" t="e" cm="1">
        <f t="array" aca="1" ref="D648" ca="1">RIGHT(INDIRECT(ADDRESS(6,2,,,$A648)),6)</f>
        <v>#VALUE!</v>
      </c>
      <c r="E648" s="1" t="e" cm="1">
        <f t="array" aca="1" ref="E648" ca="1">RIGHT(INDIRECT(ADDRESS(4,2,,,$A648)),5)</f>
        <v>#VALUE!</v>
      </c>
      <c r="F648" s="22">
        <v>1.0335000000000001</v>
      </c>
      <c r="G648" s="22">
        <f t="shared" si="176"/>
        <v>1.0325</v>
      </c>
      <c r="H648" s="7">
        <v>8</v>
      </c>
      <c r="I648" s="7">
        <v>3</v>
      </c>
      <c r="J648" s="26">
        <v>4</v>
      </c>
      <c r="K648" s="26"/>
      <c r="L648" s="26" t="s">
        <v>350</v>
      </c>
      <c r="M648" s="26" t="s">
        <v>351</v>
      </c>
      <c r="N648" s="9" t="str">
        <f>LEFT(INDEX('2026_UCSF_PED_ALLO_REL_SCIDS'!$A$1:$E$30,MATCH($H648,'2026_UCSF_PED_ALLO_REL_SCIDS'!$A$1:$A$30),MATCH(I648,'2026_UCSF_PED_ALLO_REL_SCIDS'!$A$1:$D$1)),30)</f>
        <v xml:space="preserve">PER DIEM RATES for day 61+ of </v>
      </c>
      <c r="O648" s="16">
        <v>2474</v>
      </c>
      <c r="P648" s="507">
        <f t="shared" si="175"/>
        <v>2554</v>
      </c>
    </row>
    <row r="649" spans="1:17">
      <c r="A649" s="1" t="e">
        <f ca="1">'2026_UCSF_PED_ALLO_REL_SCIDS'!$A$1</f>
        <v>#VALUE!</v>
      </c>
      <c r="B649" s="14" t="e">
        <f t="shared" ca="1" si="164"/>
        <v>#VALUE!</v>
      </c>
      <c r="C649" s="1" t="s">
        <v>381</v>
      </c>
      <c r="D649" s="4" t="e" cm="1">
        <f t="array" aca="1" ref="D649" ca="1">RIGHT(INDIRECT(ADDRESS(6,2,,,$A649)),6)</f>
        <v>#VALUE!</v>
      </c>
      <c r="E649" s="1" t="e" cm="1">
        <f t="array" aca="1" ref="E649" ca="1">RIGHT(INDIRECT(ADDRESS(4,2,,,$A649)),5)</f>
        <v>#VALUE!</v>
      </c>
      <c r="F649" s="22">
        <v>1.0335000000000001</v>
      </c>
      <c r="G649" s="22">
        <f t="shared" si="176"/>
        <v>1.0325</v>
      </c>
      <c r="H649" s="7">
        <v>9</v>
      </c>
      <c r="I649" s="7">
        <v>3</v>
      </c>
      <c r="J649" s="26">
        <v>4</v>
      </c>
      <c r="K649" s="26"/>
      <c r="L649" s="26" t="s">
        <v>350</v>
      </c>
      <c r="M649" s="26" t="s">
        <v>351</v>
      </c>
      <c r="N649" s="9" t="str">
        <f>LEFT(INDEX('2026_UCSF_PED_ALLO_REL_SCIDS'!$A$1:$E$30,MATCH($H649,'2026_UCSF_PED_ALLO_REL_SCIDS'!$A$1:$A$30),MATCH(I649,'2026_UCSF_PED_ALLO_REL_SCIDS'!$A$1:$D$1)),30)</f>
        <v>Days 11+/61+ paid at the per d</v>
      </c>
      <c r="O649" s="16">
        <v>7263.18</v>
      </c>
      <c r="P649" s="509">
        <f>O649*$Q$2</f>
        <v>8014.1928120000002</v>
      </c>
      <c r="Q649" s="14" t="s">
        <v>352</v>
      </c>
    </row>
    <row r="650" spans="1:17">
      <c r="A650" s="1" t="e">
        <f ca="1">'2026_UCSF_PED_ALLO_REL_SCIDS'!$A$1</f>
        <v>#VALUE!</v>
      </c>
      <c r="B650" s="14" t="e">
        <f t="shared" ca="1" si="164"/>
        <v>#VALUE!</v>
      </c>
      <c r="C650" s="1" t="s">
        <v>381</v>
      </c>
      <c r="D650" s="4" t="e" cm="1">
        <f t="array" aca="1" ref="D650" ca="1">RIGHT(INDIRECT(ADDRESS(6,2,,,$A650)),6)</f>
        <v>#VALUE!</v>
      </c>
      <c r="E650" s="1" t="e" cm="1">
        <f t="array" aca="1" ref="E650" ca="1">RIGHT(INDIRECT(ADDRESS(4,2,,,$A650)),5)</f>
        <v>#VALUE!</v>
      </c>
      <c r="F650" s="22">
        <v>1.0335000000000001</v>
      </c>
      <c r="G650" s="22">
        <f t="shared" si="176"/>
        <v>1.0325</v>
      </c>
      <c r="H650" s="7">
        <v>10</v>
      </c>
      <c r="I650" s="7">
        <v>3</v>
      </c>
      <c r="J650" s="26">
        <v>4</v>
      </c>
      <c r="K650" s="26"/>
      <c r="L650" s="26" t="s">
        <v>350</v>
      </c>
      <c r="M650" s="26" t="s">
        <v>351</v>
      </c>
      <c r="N650" s="9" t="str">
        <f>LEFT(INDEX('2026_UCSF_PED_ALLO_REL_SCIDS'!$A$1:$E$30,MATCH($H650,'2026_UCSF_PED_ALLO_REL_SCIDS'!$A$1:$A$30),MATCH(I650,'2026_UCSF_PED_ALLO_REL_SCIDS'!$A$1:$D$1)),30)</f>
        <v>Outlier:  If charges exceed th</v>
      </c>
      <c r="O650" s="16">
        <v>543913</v>
      </c>
      <c r="P650" s="507">
        <f t="shared" ref="P650" si="177">ROUND(O650*$G$2,0)</f>
        <v>561590</v>
      </c>
      <c r="Q650" s="14" t="s">
        <v>353</v>
      </c>
    </row>
    <row r="651" spans="1:17">
      <c r="A651" s="1" t="e">
        <f ca="1">'2026_UCSF_PED_ALLO_REL_SCIDS'!$A$1</f>
        <v>#VALUE!</v>
      </c>
      <c r="B651" s="14" t="e">
        <f t="shared" ca="1" si="164"/>
        <v>#VALUE!</v>
      </c>
      <c r="C651" s="1" t="s">
        <v>381</v>
      </c>
      <c r="D651" s="4" t="e" cm="1">
        <f t="array" aca="1" ref="D651" ca="1">RIGHT(INDIRECT(ADDRESS(6,2,,,$A651)),6)</f>
        <v>#VALUE!</v>
      </c>
      <c r="E651" s="1" t="e" cm="1">
        <f t="array" aca="1" ref="E651" ca="1">RIGHT(INDIRECT(ADDRESS(4,2,,,$A651)),5)</f>
        <v>#VALUE!</v>
      </c>
      <c r="F651" s="22">
        <v>1.0335000000000001</v>
      </c>
      <c r="G651" s="22">
        <f t="shared" si="176"/>
        <v>1.0325</v>
      </c>
      <c r="H651" s="7">
        <v>11</v>
      </c>
      <c r="I651" s="7">
        <v>3</v>
      </c>
      <c r="J651" s="26">
        <v>4</v>
      </c>
      <c r="K651" s="26"/>
      <c r="L651" s="26" t="s">
        <v>350</v>
      </c>
      <c r="M651" s="26" t="s">
        <v>351</v>
      </c>
      <c r="N651" s="9" t="str">
        <f>LEFT(INDEX('2026_UCSF_PED_ALLO_REL_SCIDS'!$A$1:$E$30,MATCH($H651,'2026_UCSF_PED_ALLO_REL_SCIDS'!$A$1:$A$30),MATCH(I651,'2026_UCSF_PED_ALLO_REL_SCIDS'!$A$1:$D$1)),30)</f>
        <v>Rate Above Threshold</v>
      </c>
      <c r="O651" s="16">
        <v>0.5</v>
      </c>
      <c r="P651" s="507">
        <f t="shared" ref="P651" si="178">O651</f>
        <v>0.5</v>
      </c>
      <c r="Q651" s="14" t="s">
        <v>354</v>
      </c>
    </row>
    <row r="652" spans="1:17">
      <c r="A652" s="1" t="e">
        <f ca="1">'2026_UCSF_PED_AUT_MUDSCID'!$A$1</f>
        <v>#VALUE!</v>
      </c>
      <c r="B652" s="14" t="e">
        <f t="shared" ca="1" si="164"/>
        <v>#VALUE!</v>
      </c>
      <c r="C652" s="1" t="s">
        <v>381</v>
      </c>
      <c r="D652" s="4" t="e" cm="1">
        <f t="array" aca="1" ref="D652" ca="1">RIGHT(INDIRECT(ADDRESS(6,2,,,$A652)),6)</f>
        <v>#VALUE!</v>
      </c>
      <c r="E652" s="1" t="e" cm="1">
        <f t="array" aca="1" ref="E652" ca="1">RIGHT(INDIRECT(ADDRESS(4,2,,,$A652)),5)</f>
        <v>#VALUE!</v>
      </c>
      <c r="F652" s="22">
        <v>1.0335000000000001</v>
      </c>
      <c r="G652" s="22">
        <f t="shared" si="176"/>
        <v>1.0325</v>
      </c>
      <c r="H652" s="7">
        <v>1</v>
      </c>
      <c r="I652" s="7">
        <v>3</v>
      </c>
      <c r="J652" s="26">
        <v>4</v>
      </c>
      <c r="K652" s="26"/>
      <c r="L652" s="26" t="s">
        <v>350</v>
      </c>
      <c r="M652" s="26" t="s">
        <v>351</v>
      </c>
      <c r="N652" s="9" t="str">
        <f>LEFT(INDEX('2026_UCSF_PED_AUT_MUDSCID'!$A$1:$E$30,MATCH($H652,'2026_UCSF_PED_AUT_MUDSCID'!$A$1:$A$30),MATCH(I652,'2026_UCSF_PED_AUT_MUDSCID'!$A$1:$D$1)),30)</f>
        <v>OUTPATIENT EVALUATION* - Initi</v>
      </c>
      <c r="O652" s="16">
        <v>8538</v>
      </c>
      <c r="P652" s="507">
        <f t="shared" ref="P652:P658" si="179">ROUND(O652*$G$2,0)</f>
        <v>8815</v>
      </c>
    </row>
    <row r="653" spans="1:17">
      <c r="A653" s="1" t="e">
        <f ca="1">'2026_UCSF_PED_AUT_MUDSCID'!$A$1</f>
        <v>#VALUE!</v>
      </c>
      <c r="B653" s="14" t="e">
        <f t="shared" ca="1" si="164"/>
        <v>#VALUE!</v>
      </c>
      <c r="C653" s="1" t="s">
        <v>381</v>
      </c>
      <c r="D653" s="4" t="e" cm="1">
        <f t="array" aca="1" ref="D653" ca="1">RIGHT(INDIRECT(ADDRESS(6,2,,,$A653)),6)</f>
        <v>#VALUE!</v>
      </c>
      <c r="E653" s="1" t="e" cm="1">
        <f t="array" aca="1" ref="E653" ca="1">RIGHT(INDIRECT(ADDRESS(4,2,,,$A653)),5)</f>
        <v>#VALUE!</v>
      </c>
      <c r="F653" s="22">
        <v>1.0335000000000001</v>
      </c>
      <c r="G653" s="22">
        <f t="shared" si="176"/>
        <v>1.0325</v>
      </c>
      <c r="H653" s="7">
        <v>2</v>
      </c>
      <c r="I653" s="7">
        <v>3</v>
      </c>
      <c r="J653" s="26">
        <v>4</v>
      </c>
      <c r="K653" s="26"/>
      <c r="L653" s="26" t="s">
        <v>350</v>
      </c>
      <c r="M653" s="26" t="s">
        <v>351</v>
      </c>
      <c r="N653" s="9" t="str">
        <f>LEFT(INDEX('2026_UCSF_PED_AUT_MUDSCID'!$A$1:$E$30,MATCH($H653,'2026_UCSF_PED_AUT_MUDSCID'!$A$1:$A$30),MATCH(I653,'2026_UCSF_PED_AUT_MUDSCID'!$A$1:$D$1)),30)</f>
        <v>DONOR HARVEST (includes stem c</v>
      </c>
      <c r="O653" s="16">
        <v>16951</v>
      </c>
      <c r="P653" s="507">
        <f t="shared" si="179"/>
        <v>17502</v>
      </c>
    </row>
    <row r="654" spans="1:17">
      <c r="A654" s="1" t="e">
        <f ca="1">'2026_UCSF_PED_AUT_MUDSCID'!$A$1</f>
        <v>#VALUE!</v>
      </c>
      <c r="B654" s="14" t="e">
        <f t="shared" ca="1" si="164"/>
        <v>#VALUE!</v>
      </c>
      <c r="C654" s="1" t="s">
        <v>381</v>
      </c>
      <c r="D654" s="4" t="e" cm="1">
        <f t="array" aca="1" ref="D654" ca="1">RIGHT(INDIRECT(ADDRESS(6,2,,,$A654)),6)</f>
        <v>#VALUE!</v>
      </c>
      <c r="E654" s="1" t="e" cm="1">
        <f t="array" aca="1" ref="E654" ca="1">RIGHT(INDIRECT(ADDRESS(4,2,,,$A654)),5)</f>
        <v>#VALUE!</v>
      </c>
      <c r="F654" s="22">
        <v>1.0335000000000001</v>
      </c>
      <c r="G654" s="22">
        <f t="shared" si="176"/>
        <v>1.0325</v>
      </c>
      <c r="H654" s="7">
        <v>3</v>
      </c>
      <c r="I654" s="7">
        <v>3</v>
      </c>
      <c r="J654" s="26">
        <v>4</v>
      </c>
      <c r="K654" s="26"/>
      <c r="L654" s="26" t="s">
        <v>350</v>
      </c>
      <c r="M654" s="26" t="s">
        <v>351</v>
      </c>
      <c r="N654" s="9" t="str">
        <f>LEFT(INDEX('2026_UCSF_PED_AUT_MUDSCID'!$A$1:$E$30,MATCH($H654,'2026_UCSF_PED_AUT_MUDSCID'!$A$1:$A$30),MATCH(I654,'2026_UCSF_PED_AUT_MUDSCID'!$A$1:$D$1)),30)</f>
        <v>PREP AND TRANSPLANT</v>
      </c>
      <c r="O654" s="16">
        <v>60188</v>
      </c>
      <c r="P654" s="507">
        <f t="shared" si="179"/>
        <v>62144</v>
      </c>
    </row>
    <row r="655" spans="1:17">
      <c r="A655" s="1" t="e">
        <f ca="1">'2026_UCSF_PED_AUT_MUDSCID'!$A$1</f>
        <v>#VALUE!</v>
      </c>
      <c r="B655" s="14" t="e">
        <f t="shared" ca="1" si="164"/>
        <v>#VALUE!</v>
      </c>
      <c r="C655" s="1" t="s">
        <v>381</v>
      </c>
      <c r="D655" s="4" t="e" cm="1">
        <f t="array" aca="1" ref="D655" ca="1">RIGHT(INDIRECT(ADDRESS(6,2,,,$A655)),6)</f>
        <v>#VALUE!</v>
      </c>
      <c r="E655" s="1" t="e" cm="1">
        <f t="array" aca="1" ref="E655" ca="1">RIGHT(INDIRECT(ADDRESS(4,2,,,$A655)),5)</f>
        <v>#VALUE!</v>
      </c>
      <c r="F655" s="22">
        <v>1.0335000000000001</v>
      </c>
      <c r="G655" s="22">
        <f t="shared" si="176"/>
        <v>1.0325</v>
      </c>
      <c r="H655" s="7">
        <v>4</v>
      </c>
      <c r="I655" s="7">
        <v>3</v>
      </c>
      <c r="J655" s="26">
        <v>4</v>
      </c>
      <c r="K655" s="26"/>
      <c r="L655" s="26" t="s">
        <v>350</v>
      </c>
      <c r="M655" s="26" t="s">
        <v>351</v>
      </c>
      <c r="N655" s="9" t="str">
        <f>LEFT(INDEX('2026_UCSF_PED_AUT_MUDSCID'!$A$1:$E$30,MATCH($H655,'2026_UCSF_PED_AUT_MUDSCID'!$A$1:$A$30),MATCH(I655,'2026_UCSF_PED_AUT_MUDSCID'!$A$1:$D$1)),30)</f>
        <v>FOLLOW UP CARE - From day 1 po</v>
      </c>
      <c r="O655" s="16">
        <v>91873</v>
      </c>
      <c r="P655" s="507">
        <f t="shared" si="179"/>
        <v>94859</v>
      </c>
    </row>
    <row r="656" spans="1:17">
      <c r="A656" s="1" t="e">
        <f ca="1">'2026_UCSF_PED_AUT_MUDSCID'!$A$1</f>
        <v>#VALUE!</v>
      </c>
      <c r="B656" s="14" t="e">
        <f t="shared" ca="1" si="164"/>
        <v>#VALUE!</v>
      </c>
      <c r="C656" s="1" t="s">
        <v>381</v>
      </c>
      <c r="D656" s="4" t="e" cm="1">
        <f t="array" aca="1" ref="D656" ca="1">RIGHT(INDIRECT(ADDRESS(6,2,,,$A656)),6)</f>
        <v>#VALUE!</v>
      </c>
      <c r="E656" s="1" t="e" cm="1">
        <f t="array" aca="1" ref="E656" ca="1">RIGHT(INDIRECT(ADDRESS(4,2,,,$A656)),5)</f>
        <v>#VALUE!</v>
      </c>
      <c r="F656" s="22">
        <v>1.0335000000000001</v>
      </c>
      <c r="G656" s="22">
        <f t="shared" si="176"/>
        <v>1.0325</v>
      </c>
      <c r="H656" s="7">
        <v>5</v>
      </c>
      <c r="I656" s="7">
        <v>3</v>
      </c>
      <c r="J656" s="26">
        <v>4</v>
      </c>
      <c r="K656" s="26"/>
      <c r="L656" s="26" t="s">
        <v>350</v>
      </c>
      <c r="M656" s="26" t="s">
        <v>351</v>
      </c>
      <c r="N656" s="9" t="str">
        <f>LEFT(INDEX('2026_UCSF_PED_AUT_MUDSCID'!$A$1:$E$30,MATCH($H656,'2026_UCSF_PED_AUT_MUDSCID'!$A$1:$A$30),MATCH(I656,'2026_UCSF_PED_AUT_MUDSCID'!$A$1:$D$1)),30)</f>
        <v xml:space="preserve">FOLLOW UP CARE - From day 31  </v>
      </c>
      <c r="O656" s="16">
        <v>21563</v>
      </c>
      <c r="P656" s="507">
        <f t="shared" si="179"/>
        <v>22264</v>
      </c>
    </row>
    <row r="657" spans="1:17">
      <c r="A657" s="1" t="e">
        <f ca="1">'2026_UCSF_PED_AUT_MUDSCID'!$A$1</f>
        <v>#VALUE!</v>
      </c>
      <c r="B657" s="14" t="e">
        <f t="shared" ca="1" si="164"/>
        <v>#VALUE!</v>
      </c>
      <c r="C657" s="1" t="s">
        <v>381</v>
      </c>
      <c r="D657" s="4" t="e" cm="1">
        <f t="array" aca="1" ref="D657" ca="1">RIGHT(INDIRECT(ADDRESS(6,2,,,$A657)),6)</f>
        <v>#VALUE!</v>
      </c>
      <c r="E657" s="1" t="e" cm="1">
        <f t="array" aca="1" ref="E657" ca="1">RIGHT(INDIRECT(ADDRESS(4,2,,,$A657)),5)</f>
        <v>#VALUE!</v>
      </c>
      <c r="F657" s="22">
        <v>1.0335000000000001</v>
      </c>
      <c r="G657" s="22">
        <f t="shared" si="176"/>
        <v>1.0325</v>
      </c>
      <c r="H657" s="7">
        <v>6</v>
      </c>
      <c r="I657" s="7">
        <v>3</v>
      </c>
      <c r="J657" s="26">
        <v>4</v>
      </c>
      <c r="K657" s="26"/>
      <c r="L657" s="26" t="s">
        <v>350</v>
      </c>
      <c r="M657" s="26" t="s">
        <v>351</v>
      </c>
      <c r="N657" s="9" t="str">
        <f>LEFT(INDEX('2026_UCSF_PED_AUT_MUDSCID'!$A$1:$E$30,MATCH($H657,'2026_UCSF_PED_AUT_MUDSCID'!$A$1:$A$30),MATCH(I657,'2026_UCSF_PED_AUT_MUDSCID'!$A$1:$D$1)),30)</f>
        <v>ROOM &amp; BOARD-PER DIEM</v>
      </c>
      <c r="O657" s="16">
        <v>176</v>
      </c>
      <c r="P657" s="507">
        <f t="shared" si="179"/>
        <v>182</v>
      </c>
    </row>
    <row r="658" spans="1:17">
      <c r="A658" s="1" t="e">
        <f ca="1">'2026_UCSF_PED_AUT_MUDSCID'!$A$1</f>
        <v>#VALUE!</v>
      </c>
      <c r="B658" s="14" t="e">
        <f t="shared" ca="1" si="164"/>
        <v>#VALUE!</v>
      </c>
      <c r="C658" s="1" t="s">
        <v>381</v>
      </c>
      <c r="D658" s="4" t="e" cm="1">
        <f t="array" aca="1" ref="D658" ca="1">RIGHT(INDIRECT(ADDRESS(6,2,,,$A658)),6)</f>
        <v>#VALUE!</v>
      </c>
      <c r="E658" s="1" t="e" cm="1">
        <f t="array" aca="1" ref="E658" ca="1">RIGHT(INDIRECT(ADDRESS(4,2,,,$A658)),5)</f>
        <v>#VALUE!</v>
      </c>
      <c r="F658" s="22">
        <v>1.0335000000000001</v>
      </c>
      <c r="G658" s="22">
        <f t="shared" si="176"/>
        <v>1.0325</v>
      </c>
      <c r="H658" s="7">
        <v>7</v>
      </c>
      <c r="I658" s="7">
        <v>3</v>
      </c>
      <c r="J658" s="26">
        <v>4</v>
      </c>
      <c r="K658" s="26"/>
      <c r="L658" s="26" t="s">
        <v>350</v>
      </c>
      <c r="M658" s="26" t="s">
        <v>351</v>
      </c>
      <c r="N658" s="9" t="str">
        <f>LEFT(INDEX('2026_UCSF_PED_AUT_MUDSCID'!$A$1:$E$30,MATCH($H658,'2026_UCSF_PED_AUT_MUDSCID'!$A$1:$A$30),MATCH(I658,'2026_UCSF_PED_AUT_MUDSCID'!$A$1:$D$1)),30)</f>
        <v xml:space="preserve">PER DIEM RATES for day 61+ of </v>
      </c>
      <c r="O658" s="16">
        <v>2474</v>
      </c>
      <c r="P658" s="507">
        <f t="shared" si="179"/>
        <v>2554</v>
      </c>
    </row>
    <row r="659" spans="1:17">
      <c r="A659" s="1" t="e">
        <f ca="1">'2026_UCSF_PED_AUT_MUDSCID'!$A$1</f>
        <v>#VALUE!</v>
      </c>
      <c r="B659" s="14" t="e">
        <f t="shared" ca="1" si="164"/>
        <v>#VALUE!</v>
      </c>
      <c r="C659" s="1" t="s">
        <v>381</v>
      </c>
      <c r="D659" s="4" t="e" cm="1">
        <f t="array" aca="1" ref="D659" ca="1">RIGHT(INDIRECT(ADDRESS(6,2,,,$A659)),6)</f>
        <v>#VALUE!</v>
      </c>
      <c r="E659" s="1" t="e" cm="1">
        <f t="array" aca="1" ref="E659" ca="1">RIGHT(INDIRECT(ADDRESS(4,2,,,$A659)),5)</f>
        <v>#VALUE!</v>
      </c>
      <c r="F659" s="22">
        <v>1.0335000000000001</v>
      </c>
      <c r="G659" s="22">
        <f t="shared" si="176"/>
        <v>1.0325</v>
      </c>
      <c r="H659" s="7">
        <v>8</v>
      </c>
      <c r="I659" s="7">
        <v>3</v>
      </c>
      <c r="J659" s="26">
        <v>4</v>
      </c>
      <c r="K659" s="26"/>
      <c r="L659" s="26" t="s">
        <v>350</v>
      </c>
      <c r="M659" s="26" t="s">
        <v>351</v>
      </c>
      <c r="N659" s="9" t="str">
        <f>LEFT(INDEX('2026_UCSF_PED_AUT_MUDSCID'!$A$1:$E$30,MATCH($H659,'2026_UCSF_PED_AUT_MUDSCID'!$A$1:$A$30),MATCH(I659,'2026_UCSF_PED_AUT_MUDSCID'!$A$1:$D$1)),30)</f>
        <v>Days 11+/61+ paid at the per d</v>
      </c>
      <c r="O659" s="16">
        <v>7263.18</v>
      </c>
      <c r="P659" s="509">
        <f>O659*$Q$2</f>
        <v>8014.1928120000002</v>
      </c>
      <c r="Q659" s="14" t="s">
        <v>352</v>
      </c>
    </row>
    <row r="660" spans="1:17">
      <c r="A660" s="1" t="e">
        <f ca="1">'2026_UCSF_PED_AUT_MUDSCID'!$A$1</f>
        <v>#VALUE!</v>
      </c>
      <c r="B660" s="14" t="e">
        <f t="shared" ca="1" si="164"/>
        <v>#VALUE!</v>
      </c>
      <c r="C660" s="1" t="s">
        <v>381</v>
      </c>
      <c r="D660" s="4" t="e" cm="1">
        <f t="array" aca="1" ref="D660" ca="1">RIGHT(INDIRECT(ADDRESS(6,2,,,$A660)),6)</f>
        <v>#VALUE!</v>
      </c>
      <c r="E660" s="1" t="e" cm="1">
        <f t="array" aca="1" ref="E660" ca="1">RIGHT(INDIRECT(ADDRESS(4,2,,,$A660)),5)</f>
        <v>#VALUE!</v>
      </c>
      <c r="F660" s="22">
        <v>1.0335000000000001</v>
      </c>
      <c r="G660" s="22">
        <f t="shared" si="176"/>
        <v>1.0325</v>
      </c>
      <c r="H660" s="7">
        <v>9</v>
      </c>
      <c r="I660" s="7">
        <v>3</v>
      </c>
      <c r="J660" s="26">
        <v>4</v>
      </c>
      <c r="K660" s="26"/>
      <c r="L660" s="26" t="s">
        <v>350</v>
      </c>
      <c r="M660" s="26" t="s">
        <v>351</v>
      </c>
      <c r="N660" s="9" t="str">
        <f>LEFT(INDEX('2026_UCSF_PED_AUT_MUDSCID'!$A$1:$E$30,MATCH($H660,'2026_UCSF_PED_AUT_MUDSCID'!$A$1:$A$30),MATCH(I660,'2026_UCSF_PED_AUT_MUDSCID'!$A$1:$D$1)),30)</f>
        <v>Outlier:  If charges exceed th</v>
      </c>
      <c r="O660" s="16">
        <v>534336</v>
      </c>
      <c r="P660" s="507">
        <f t="shared" ref="P660" si="180">ROUND(O660*$G$2,0)</f>
        <v>551702</v>
      </c>
      <c r="Q660" s="14" t="s">
        <v>353</v>
      </c>
    </row>
    <row r="661" spans="1:17">
      <c r="A661" s="1" t="e">
        <f ca="1">'2026_UCSF_PED_AUT_MUDSCID'!$A$1</f>
        <v>#VALUE!</v>
      </c>
      <c r="B661" s="14" t="e">
        <f t="shared" ca="1" si="164"/>
        <v>#VALUE!</v>
      </c>
      <c r="C661" s="1" t="s">
        <v>381</v>
      </c>
      <c r="D661" s="4" t="e" cm="1">
        <f t="array" aca="1" ref="D661" ca="1">RIGHT(INDIRECT(ADDRESS(6,2,,,$A661)),6)</f>
        <v>#VALUE!</v>
      </c>
      <c r="E661" s="1" t="e" cm="1">
        <f t="array" aca="1" ref="E661" ca="1">RIGHT(INDIRECT(ADDRESS(4,2,,,$A661)),5)</f>
        <v>#VALUE!</v>
      </c>
      <c r="F661" s="22">
        <v>1.0335000000000001</v>
      </c>
      <c r="G661" s="22">
        <f t="shared" si="176"/>
        <v>1.0325</v>
      </c>
      <c r="H661" s="7">
        <v>10</v>
      </c>
      <c r="I661" s="7">
        <v>3</v>
      </c>
      <c r="J661" s="26">
        <v>4</v>
      </c>
      <c r="K661" s="26"/>
      <c r="L661" s="26" t="s">
        <v>350</v>
      </c>
      <c r="M661" s="26" t="s">
        <v>351</v>
      </c>
      <c r="N661" s="9" t="str">
        <f>LEFT(INDEX('2026_UCSF_PED_AUT_MUDSCID'!$A$1:$E$30,MATCH($H661,'2026_UCSF_PED_AUT_MUDSCID'!$A$1:$A$30),MATCH(I661,'2026_UCSF_PED_AUT_MUDSCID'!$A$1:$D$1)),30)</f>
        <v>Rate Above Threshold</v>
      </c>
      <c r="O661" s="16">
        <v>0.5</v>
      </c>
      <c r="P661" s="507">
        <f t="shared" ref="P661" si="181">O661</f>
        <v>0.5</v>
      </c>
      <c r="Q661" s="14" t="s">
        <v>354</v>
      </c>
    </row>
  </sheetData>
  <sheetProtection algorithmName="SHA-512" hashValue="h16OqyH74uiSialkr62URkwSLTzgs9MirB58LIg3uLu1SzxjidYWkMXjN2QKOlKd2dAHH1vTseNbhXaIgR27EQ==" saltValue="k4o9GOC+S8VSWkyhvdTGsQ==" spinCount="100000" sheet="1" objects="1" scenarios="1"/>
  <autoFilter ref="A3:U661" xr:uid="{9F6A9AEC-3A68-483C-9816-3A17397B09FC}"/>
  <conditionalFormatting sqref="A4:S661">
    <cfRule type="expression" dxfId="0" priority="1">
      <formula>$B4:$B661=1</formula>
    </cfRule>
  </conditionalFormatting>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39997558519241921"/>
    <pageSetUpPr fitToPage="1"/>
  </sheetPr>
  <dimension ref="A1:O35"/>
  <sheetViews>
    <sheetView showGridLines="0" topLeftCell="B6" zoomScaleNormal="100" zoomScaleSheetLayoutView="70" workbookViewId="0">
      <selection activeCell="E18" sqref="E18"/>
    </sheetView>
  </sheetViews>
  <sheetFormatPr defaultColWidth="9" defaultRowHeight="12.6"/>
  <cols>
    <col min="1" max="1" width="29.625" hidden="1" customWidth="1"/>
    <col min="2" max="2" width="6.625" style="203" customWidth="1"/>
    <col min="3" max="3" width="69.5" style="203" customWidth="1"/>
    <col min="4" max="4" width="21.5" style="203" customWidth="1"/>
    <col min="5" max="5" width="46.5" style="203" customWidth="1"/>
    <col min="6" max="6" width="12.125" style="30" bestFit="1" customWidth="1"/>
    <col min="7" max="7" width="12" style="30" customWidth="1"/>
    <col min="8" max="16384" width="9" style="30"/>
  </cols>
  <sheetData>
    <row r="1" spans="1:15" s="504" customFormat="1" ht="20.100000000000001" hidden="1" customHeight="1">
      <c r="A1" s="152" t="e" cm="1">
        <f t="array" aca="1" ref="A1" ca="1">MID(CELL("filename",A1),FIND("]",CELL("filename",A1))+1,255)</f>
        <v>#VALUE!</v>
      </c>
      <c r="B1" s="503"/>
      <c r="C1" s="156">
        <v>3</v>
      </c>
      <c r="D1" s="156">
        <v>4</v>
      </c>
    </row>
    <row r="2" spans="1:15">
      <c r="A2" s="153"/>
    </row>
    <row r="3" spans="1:15" s="33" customFormat="1" ht="19.899999999999999" customHeight="1">
      <c r="A3" s="154"/>
      <c r="B3" s="571" t="s">
        <v>382</v>
      </c>
      <c r="C3" s="571"/>
      <c r="D3" s="571"/>
      <c r="E3" s="571"/>
      <c r="M3" s="34"/>
      <c r="N3" s="35"/>
      <c r="O3" s="36"/>
    </row>
    <row r="4" spans="1:15" s="33" customFormat="1" ht="19.899999999999999" customHeight="1">
      <c r="A4" s="154"/>
      <c r="B4" s="571" t="s">
        <v>383</v>
      </c>
      <c r="C4" s="571"/>
      <c r="D4" s="571"/>
      <c r="E4" s="571"/>
      <c r="M4" s="34"/>
      <c r="N4" s="35"/>
    </row>
    <row r="5" spans="1:15" s="33" customFormat="1" ht="19.899999999999999" customHeight="1">
      <c r="A5" s="154"/>
      <c r="B5" s="571" t="s">
        <v>384</v>
      </c>
      <c r="C5" s="571"/>
      <c r="D5" s="571"/>
      <c r="E5" s="571"/>
    </row>
    <row r="6" spans="1:15" s="33" customFormat="1" ht="19.899999999999999" customHeight="1">
      <c r="A6" s="154"/>
      <c r="B6" s="571" t="s">
        <v>385</v>
      </c>
      <c r="C6" s="571"/>
      <c r="D6" s="571"/>
      <c r="E6" s="571"/>
    </row>
    <row r="7" spans="1:15" s="38" customFormat="1" ht="11.45" customHeight="1">
      <c r="A7" s="155"/>
      <c r="B7" s="205"/>
      <c r="C7" s="206"/>
      <c r="D7" s="205"/>
      <c r="E7" s="205"/>
    </row>
    <row r="8" spans="1:15" ht="12.95">
      <c r="A8" s="153"/>
      <c r="B8" s="207"/>
      <c r="C8" s="208"/>
      <c r="D8" s="202" t="s">
        <v>386</v>
      </c>
      <c r="E8" s="202"/>
    </row>
    <row r="9" spans="1:15" ht="40.15" customHeight="1">
      <c r="A9" s="156"/>
      <c r="B9" s="207"/>
      <c r="C9" s="146" t="s">
        <v>387</v>
      </c>
      <c r="D9" s="146" t="s">
        <v>388</v>
      </c>
      <c r="E9" s="202"/>
      <c r="F9" s="159"/>
    </row>
    <row r="10" spans="1:15" ht="47.25" customHeight="1">
      <c r="A10" s="156">
        <v>1</v>
      </c>
      <c r="B10" s="207"/>
      <c r="C10" s="209" t="s">
        <v>389</v>
      </c>
      <c r="D10" s="160">
        <f>VLOOKUP(A10,BannerMD_BMT_AUT_ADULT,9,FALSE)</f>
        <v>6509</v>
      </c>
      <c r="E10" s="202"/>
      <c r="F10" s="42"/>
    </row>
    <row r="11" spans="1:15" ht="35.1" customHeight="1">
      <c r="A11" s="156">
        <v>2</v>
      </c>
      <c r="B11" s="207"/>
      <c r="C11" s="210" t="s">
        <v>390</v>
      </c>
      <c r="D11" s="160">
        <f>VLOOKUP(A11,BannerMD_BMT_AUT_ADULT,9,FALSE)</f>
        <v>16110</v>
      </c>
      <c r="E11" s="211"/>
      <c r="F11" s="42"/>
    </row>
    <row r="12" spans="1:15" ht="35.1" customHeight="1">
      <c r="A12" s="156">
        <v>3</v>
      </c>
      <c r="B12" s="207"/>
      <c r="C12" s="210" t="s">
        <v>391</v>
      </c>
      <c r="D12" s="160">
        <f>VLOOKUP(A12,BannerMD_BMT_AUT_ADULT,9,FALSE)</f>
        <v>120816</v>
      </c>
      <c r="E12" s="211"/>
      <c r="F12" s="42"/>
    </row>
    <row r="13" spans="1:15" ht="35.1" customHeight="1">
      <c r="A13" s="156">
        <v>4</v>
      </c>
      <c r="B13" s="207"/>
      <c r="C13" s="212" t="s">
        <v>392</v>
      </c>
      <c r="D13" s="160">
        <f>VLOOKUP(A13,BannerMD_BMT_AUT_ADULT,9,FALSE)</f>
        <v>30607</v>
      </c>
      <c r="E13" s="211"/>
      <c r="F13" s="42"/>
    </row>
    <row r="14" spans="1:15" ht="35.1" customHeight="1">
      <c r="A14" s="156">
        <v>5</v>
      </c>
      <c r="B14" s="207"/>
      <c r="C14" s="212" t="s">
        <v>393</v>
      </c>
      <c r="D14" s="160">
        <f>VLOOKUP(A14,BannerMD_BMT_AUT_ADULT,9,FALSE)</f>
        <v>11277</v>
      </c>
      <c r="E14" s="211"/>
      <c r="F14" s="42"/>
    </row>
    <row r="15" spans="1:15" ht="35.1" customHeight="1">
      <c r="A15" s="156"/>
      <c r="B15" s="207"/>
      <c r="C15" s="213" t="s">
        <v>394</v>
      </c>
      <c r="D15" s="214">
        <f>SUM(D10:D14)</f>
        <v>185319</v>
      </c>
      <c r="E15" s="207"/>
      <c r="F15" s="42"/>
    </row>
    <row r="16" spans="1:15" ht="15.6">
      <c r="A16" s="156"/>
      <c r="B16" s="207"/>
      <c r="C16" s="207"/>
      <c r="D16" s="215"/>
      <c r="E16" s="207"/>
    </row>
    <row r="17" spans="1:8" ht="57" customHeight="1">
      <c r="A17" s="156">
        <v>6</v>
      </c>
      <c r="B17" s="207"/>
      <c r="C17" s="216" t="s">
        <v>395</v>
      </c>
      <c r="D17" s="160">
        <f>VLOOKUP(A17,BannerMD_BMT_AUT_ADULT,9,FALSE)</f>
        <v>2554</v>
      </c>
    </row>
    <row r="18" spans="1:8" ht="56.1" customHeight="1">
      <c r="A18" s="156">
        <v>7</v>
      </c>
      <c r="B18" s="207"/>
      <c r="C18" s="44" t="s">
        <v>396</v>
      </c>
      <c r="D18" s="217">
        <f>VLOOKUP(A18,BannerMD_BMT_AUT_ADULT,9,FALSE)</f>
        <v>8014.1928120000002</v>
      </c>
      <c r="E18" s="45"/>
    </row>
    <row r="19" spans="1:8" ht="17.100000000000001" customHeight="1">
      <c r="A19" s="153"/>
      <c r="B19" s="207"/>
      <c r="C19" s="218"/>
      <c r="D19" s="207"/>
      <c r="E19" s="207"/>
    </row>
    <row r="20" spans="1:8" ht="48.75" customHeight="1">
      <c r="A20" s="153"/>
      <c r="B20" s="207"/>
      <c r="C20" s="581" t="s">
        <v>397</v>
      </c>
      <c r="D20" s="582"/>
      <c r="E20" s="583"/>
    </row>
    <row r="21" spans="1:8">
      <c r="A21" s="153"/>
      <c r="B21" s="207"/>
      <c r="C21" s="207"/>
      <c r="D21" s="207"/>
      <c r="E21" s="207"/>
    </row>
    <row r="22" spans="1:8">
      <c r="A22" s="153"/>
      <c r="B22" s="207"/>
      <c r="C22" s="218"/>
      <c r="D22" s="207"/>
      <c r="E22" s="207"/>
    </row>
    <row r="23" spans="1:8" s="39" customFormat="1" ht="27" customHeight="1">
      <c r="A23" s="157"/>
      <c r="B23" s="207"/>
      <c r="C23" s="567" t="s">
        <v>398</v>
      </c>
      <c r="D23" s="568"/>
      <c r="E23" s="568"/>
      <c r="F23" s="569"/>
      <c r="G23" s="48"/>
      <c r="H23" s="48"/>
    </row>
    <row r="24" spans="1:8">
      <c r="A24" s="153"/>
      <c r="B24" s="207"/>
      <c r="C24" s="207"/>
      <c r="D24" s="207"/>
      <c r="E24" s="207"/>
    </row>
    <row r="25" spans="1:8">
      <c r="A25" s="153"/>
      <c r="B25" s="207"/>
      <c r="C25" s="207"/>
      <c r="D25" s="207"/>
      <c r="E25" s="207"/>
    </row>
    <row r="26" spans="1:8">
      <c r="A26" s="153"/>
    </row>
    <row r="27" spans="1:8">
      <c r="A27" s="153"/>
      <c r="C27" s="203" t="s">
        <v>399</v>
      </c>
    </row>
    <row r="28" spans="1:8">
      <c r="A28" s="153"/>
    </row>
    <row r="29" spans="1:8">
      <c r="A29" s="153"/>
    </row>
    <row r="30" spans="1:8">
      <c r="A30" s="153"/>
    </row>
    <row r="31" spans="1:8">
      <c r="A31" s="153"/>
    </row>
    <row r="32" spans="1:8">
      <c r="A32" s="153"/>
    </row>
    <row r="33" spans="1:1">
      <c r="A33" s="153"/>
    </row>
    <row r="34" spans="1:1">
      <c r="A34" s="153"/>
    </row>
    <row r="35" spans="1:1">
      <c r="A35" s="153"/>
    </row>
  </sheetData>
  <sheetProtection algorithmName="SHA-512" hashValue="JNNdmIF3Yqhi32u8PzNiOLqeMYaiPHMfphix60eLIaDiCc0deyTIMsmLCIF1oUq6GMz/40dLoWYx20PF7G2Z0g==" saltValue="s/7uJMhS0q5GscIl+q3IwQ==" spinCount="100000" sheet="1" objects="1" scenarios="1"/>
  <mergeCells count="6">
    <mergeCell ref="B4:E4"/>
    <mergeCell ref="B3:E3"/>
    <mergeCell ref="C23:F23"/>
    <mergeCell ref="C20:E20"/>
    <mergeCell ref="B5:E5"/>
    <mergeCell ref="B6:E6"/>
  </mergeCells>
  <printOptions horizontalCentered="1"/>
  <pageMargins left="0.25" right="0.25" top="0.25" bottom="0.25" header="0.25" footer="0.25"/>
  <pageSetup scale="7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C5A3-5D78-43E3-9274-F9C4F11CBC64}">
  <sheetPr codeName="Sheet3">
    <tabColor theme="9" tint="0.39997558519241921"/>
    <pageSetUpPr fitToPage="1"/>
  </sheetPr>
  <dimension ref="A1:O35"/>
  <sheetViews>
    <sheetView showGridLines="0" topLeftCell="B2" zoomScale="90" zoomScaleNormal="90" zoomScaleSheetLayoutView="70" workbookViewId="0"/>
  </sheetViews>
  <sheetFormatPr defaultColWidth="9" defaultRowHeight="12.6"/>
  <cols>
    <col min="1" max="1" width="34.75" style="39" hidden="1" customWidth="1"/>
    <col min="2" max="2" width="6.625" style="207" customWidth="1"/>
    <col min="3" max="3" width="66.875" style="207" customWidth="1"/>
    <col min="4" max="4" width="20" style="207" customWidth="1"/>
    <col min="5" max="5" width="23.5" style="207" customWidth="1"/>
    <col min="6" max="6" width="10.875" style="39" customWidth="1"/>
    <col min="7" max="7" width="14.375" style="39" customWidth="1"/>
    <col min="8" max="16384" width="9" style="39"/>
  </cols>
  <sheetData>
    <row r="1" spans="1:15" s="483" customFormat="1" ht="20.100000000000001" hidden="1" customHeight="1">
      <c r="A1" s="481" t="e" cm="1">
        <f t="array" aca="1" ref="A1" ca="1">MID(CELL("filename",A1),FIND("]",CELL("filename",A1))+1,255)</f>
        <v>#VALUE!</v>
      </c>
      <c r="B1" s="482"/>
      <c r="C1" s="29">
        <v>3</v>
      </c>
      <c r="D1" s="29">
        <v>4</v>
      </c>
    </row>
    <row r="2" spans="1:15">
      <c r="A2" s="47"/>
    </row>
    <row r="3" spans="1:15" s="33" customFormat="1" ht="19.899999999999999" customHeight="1">
      <c r="A3" s="31"/>
      <c r="B3" s="571" t="s">
        <v>382</v>
      </c>
      <c r="C3" s="571"/>
      <c r="D3" s="571"/>
      <c r="E3" s="571"/>
      <c r="F3" s="83"/>
      <c r="M3" s="34"/>
      <c r="N3" s="35"/>
      <c r="O3" s="36"/>
    </row>
    <row r="4" spans="1:15" s="33" customFormat="1" ht="19.899999999999999" customHeight="1">
      <c r="A4" s="31"/>
      <c r="B4" s="571" t="s">
        <v>400</v>
      </c>
      <c r="C4" s="571"/>
      <c r="D4" s="571"/>
      <c r="E4" s="571"/>
      <c r="F4" s="83"/>
      <c r="G4" s="83"/>
      <c r="M4" s="34"/>
      <c r="N4" s="35"/>
    </row>
    <row r="5" spans="1:15" s="33" customFormat="1" ht="19.899999999999999" customHeight="1">
      <c r="A5" s="31"/>
      <c r="B5" s="571" t="s">
        <v>384</v>
      </c>
      <c r="C5" s="571"/>
      <c r="D5" s="571"/>
      <c r="E5" s="571"/>
      <c r="F5" s="85"/>
    </row>
    <row r="6" spans="1:15" s="33" customFormat="1" ht="19.899999999999999" customHeight="1">
      <c r="A6" s="31"/>
      <c r="B6" s="571" t="s">
        <v>385</v>
      </c>
      <c r="C6" s="571"/>
      <c r="D6" s="571"/>
      <c r="E6" s="571"/>
      <c r="F6" s="83"/>
    </row>
    <row r="7" spans="1:15" s="33" customFormat="1" ht="12.75" customHeight="1">
      <c r="A7" s="31"/>
      <c r="B7" s="204"/>
      <c r="C7" s="204"/>
      <c r="D7" s="204"/>
      <c r="E7" s="204"/>
      <c r="F7" s="32"/>
    </row>
    <row r="8" spans="1:15" ht="15.75" customHeight="1">
      <c r="A8" s="47"/>
      <c r="D8" s="202" t="s">
        <v>386</v>
      </c>
      <c r="E8" s="208"/>
    </row>
    <row r="9" spans="1:15" ht="35.1" customHeight="1">
      <c r="A9" s="47"/>
      <c r="C9" s="146" t="s">
        <v>387</v>
      </c>
      <c r="D9" s="146" t="s">
        <v>388</v>
      </c>
      <c r="E9" s="202"/>
      <c r="F9" s="41"/>
      <c r="G9" s="159"/>
    </row>
    <row r="10" spans="1:15" ht="51.75" customHeight="1">
      <c r="A10" s="29">
        <v>1</v>
      </c>
      <c r="C10" s="209" t="s">
        <v>389</v>
      </c>
      <c r="D10" s="160">
        <f t="shared" ref="D10:D15" si="0">VLOOKUP(A10,BannerMD_BMT_ALLO_RELA,9,FALSE)</f>
        <v>4632</v>
      </c>
      <c r="E10" s="202"/>
      <c r="F10" s="41"/>
    </row>
    <row r="11" spans="1:15" ht="35.1" customHeight="1">
      <c r="A11" s="29">
        <v>2</v>
      </c>
      <c r="C11" s="219" t="s">
        <v>401</v>
      </c>
      <c r="D11" s="160">
        <f t="shared" si="0"/>
        <v>7156</v>
      </c>
      <c r="E11" s="211"/>
    </row>
    <row r="12" spans="1:15" ht="35.1" customHeight="1">
      <c r="A12" s="29">
        <v>3</v>
      </c>
      <c r="C12" s="219" t="s">
        <v>402</v>
      </c>
      <c r="D12" s="160">
        <f t="shared" si="0"/>
        <v>11848</v>
      </c>
      <c r="E12" s="211"/>
    </row>
    <row r="13" spans="1:15" ht="35.1" customHeight="1">
      <c r="A13" s="29">
        <v>4</v>
      </c>
      <c r="C13" s="220" t="s">
        <v>391</v>
      </c>
      <c r="D13" s="160">
        <f t="shared" si="0"/>
        <v>111225</v>
      </c>
      <c r="E13" s="211"/>
    </row>
    <row r="14" spans="1:15" ht="35.1" customHeight="1">
      <c r="A14" s="29">
        <v>5</v>
      </c>
      <c r="C14" s="212" t="s">
        <v>392</v>
      </c>
      <c r="D14" s="160">
        <f t="shared" si="0"/>
        <v>48918</v>
      </c>
      <c r="E14" s="211"/>
    </row>
    <row r="15" spans="1:15" ht="35.1" customHeight="1">
      <c r="A15" s="29">
        <v>6</v>
      </c>
      <c r="C15" s="212" t="s">
        <v>393</v>
      </c>
      <c r="D15" s="160">
        <f t="shared" si="0"/>
        <v>14486</v>
      </c>
      <c r="E15" s="211"/>
    </row>
    <row r="16" spans="1:15" ht="40.5" customHeight="1">
      <c r="A16" s="47"/>
      <c r="C16" s="221" t="s">
        <v>403</v>
      </c>
      <c r="D16" s="238">
        <f>SUM(D10:D15)</f>
        <v>198265</v>
      </c>
      <c r="E16" s="211"/>
    </row>
    <row r="17" spans="1:8">
      <c r="A17" s="47"/>
      <c r="D17" s="239" t="s">
        <v>80</v>
      </c>
    </row>
    <row r="18" spans="1:8" ht="66" customHeight="1">
      <c r="A18" s="29">
        <v>7</v>
      </c>
      <c r="C18" s="216" t="s">
        <v>395</v>
      </c>
      <c r="D18" s="158">
        <f>VLOOKUP(A18,BannerMD_BMT_ALLO_RELA,9,FALSE)</f>
        <v>2554</v>
      </c>
    </row>
    <row r="19" spans="1:8" ht="66" customHeight="1">
      <c r="A19" s="29">
        <v>8</v>
      </c>
      <c r="C19" s="44" t="s">
        <v>396</v>
      </c>
      <c r="D19" s="217">
        <f>VLOOKUP(A19,BannerMD_BMT_ALLO_RELA,9,FALSE)</f>
        <v>8014.1928120000002</v>
      </c>
      <c r="E19" s="45"/>
      <c r="F19" s="45"/>
      <c r="G19" s="147"/>
    </row>
    <row r="20" spans="1:8">
      <c r="A20" s="47"/>
      <c r="D20" s="293"/>
    </row>
    <row r="21" spans="1:8" s="38" customFormat="1" ht="82.5" customHeight="1">
      <c r="A21" s="37"/>
      <c r="B21" s="205"/>
      <c r="C21" s="581" t="s">
        <v>404</v>
      </c>
      <c r="D21" s="582"/>
      <c r="E21" s="583"/>
      <c r="F21" s="92"/>
    </row>
    <row r="22" spans="1:8" ht="15" customHeight="1">
      <c r="A22" s="47"/>
      <c r="D22" s="293"/>
    </row>
    <row r="23" spans="1:8" ht="36.75" customHeight="1">
      <c r="A23" s="47"/>
      <c r="C23" s="567" t="s">
        <v>398</v>
      </c>
      <c r="D23" s="568"/>
      <c r="E23" s="568"/>
      <c r="F23" s="569"/>
      <c r="G23" s="48"/>
      <c r="H23" s="48"/>
    </row>
    <row r="24" spans="1:8" s="48" customFormat="1">
      <c r="A24" s="62"/>
      <c r="B24" s="207"/>
      <c r="C24" s="207"/>
      <c r="D24" s="293"/>
      <c r="E24" s="207"/>
      <c r="F24" s="39"/>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cP8NCwl/SlYK9kocE1ki0bjSkdNLvAx1uPw7I8bM6H0aCfRL+BveMr2xJbMmhGnzmYcDwP5etLpjIDtHc8xqhw==" saltValue="yffBvNzKc5O5+WwZ9A8vxg==" spinCount="100000" sheet="1" objects="1" scenarios="1"/>
  <mergeCells count="6">
    <mergeCell ref="B3:E3"/>
    <mergeCell ref="B4:E4"/>
    <mergeCell ref="B6:E6"/>
    <mergeCell ref="B5:E5"/>
    <mergeCell ref="C23:F23"/>
    <mergeCell ref="C21:E21"/>
  </mergeCells>
  <printOptions horizontalCentered="1"/>
  <pageMargins left="0.25" right="0.25" top="0.25" bottom="0.25" header="0.25" footer="0.25"/>
  <pageSetup scale="7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9" tint="0.39997558519241921"/>
    <pageSetUpPr fitToPage="1"/>
  </sheetPr>
  <dimension ref="A1:I35"/>
  <sheetViews>
    <sheetView showGridLines="0" topLeftCell="B2" zoomScale="110" zoomScaleNormal="110" zoomScaleSheetLayoutView="70" workbookViewId="0">
      <selection activeCell="K11" sqref="K11"/>
    </sheetView>
  </sheetViews>
  <sheetFormatPr defaultColWidth="9" defaultRowHeight="12.6"/>
  <cols>
    <col min="1" max="1" width="30.75" style="39" hidden="1" customWidth="1"/>
    <col min="2" max="2" width="6.625" style="207" customWidth="1"/>
    <col min="3" max="3" width="68.125" style="207" customWidth="1"/>
    <col min="4" max="4" width="22.375" style="207" customWidth="1"/>
    <col min="5" max="5" width="29.875" style="207" customWidth="1"/>
    <col min="6" max="6" width="18.625" style="39" customWidth="1"/>
    <col min="7" max="7" width="2.125" style="39" customWidth="1"/>
    <col min="8" max="8" width="14.375" style="39" customWidth="1"/>
    <col min="9" max="16384" width="9" style="39"/>
  </cols>
  <sheetData>
    <row r="1" spans="1:8" s="483" customFormat="1" ht="20.100000000000001" hidden="1" customHeight="1">
      <c r="A1" s="481" t="e" cm="1">
        <f t="array" aca="1" ref="A1" ca="1">MID(CELL("filename",A1),FIND("]",CELL("filename",A1))+1,255)</f>
        <v>#VALUE!</v>
      </c>
      <c r="B1" s="482"/>
      <c r="C1" s="29">
        <v>3</v>
      </c>
      <c r="D1" s="29">
        <v>4</v>
      </c>
    </row>
    <row r="2" spans="1:8" ht="19.899999999999999" customHeight="1">
      <c r="A2" s="47"/>
    </row>
    <row r="3" spans="1:8" s="33" customFormat="1" ht="19.899999999999999" customHeight="1">
      <c r="A3" s="31"/>
      <c r="B3" s="571" t="s">
        <v>382</v>
      </c>
      <c r="C3" s="571"/>
      <c r="D3" s="571"/>
      <c r="E3" s="571"/>
      <c r="F3" s="83"/>
      <c r="G3" s="83"/>
    </row>
    <row r="4" spans="1:8" s="33" customFormat="1" ht="19.899999999999999" customHeight="1">
      <c r="A4" s="31"/>
      <c r="B4" s="570" t="s">
        <v>405</v>
      </c>
      <c r="C4" s="570"/>
      <c r="D4" s="570"/>
      <c r="E4" s="570"/>
      <c r="F4" s="570"/>
      <c r="G4" s="570"/>
    </row>
    <row r="5" spans="1:8" s="33" customFormat="1" ht="19.899999999999999" customHeight="1">
      <c r="A5" s="31"/>
      <c r="B5" s="571" t="s">
        <v>384</v>
      </c>
      <c r="C5" s="571"/>
      <c r="D5" s="571"/>
      <c r="E5" s="571"/>
      <c r="F5" s="151"/>
      <c r="G5" s="85"/>
    </row>
    <row r="6" spans="1:8" s="33" customFormat="1" ht="19.899999999999999" customHeight="1">
      <c r="A6" s="31"/>
      <c r="B6" s="571" t="s">
        <v>385</v>
      </c>
      <c r="C6" s="571"/>
      <c r="D6" s="571"/>
      <c r="E6" s="571"/>
      <c r="F6"/>
      <c r="G6"/>
    </row>
    <row r="7" spans="1:8" ht="12.95">
      <c r="A7" s="47"/>
      <c r="D7" s="202"/>
      <c r="E7" s="584"/>
      <c r="F7" s="584"/>
      <c r="G7" s="584"/>
    </row>
    <row r="8" spans="1:8" ht="15.6" customHeight="1">
      <c r="A8" s="47"/>
      <c r="C8" s="208"/>
      <c r="D8" s="202" t="s">
        <v>386</v>
      </c>
      <c r="E8" s="584"/>
      <c r="F8" s="584"/>
      <c r="G8" s="584"/>
    </row>
    <row r="9" spans="1:8" ht="35.1" customHeight="1">
      <c r="A9" s="47"/>
      <c r="C9" s="146" t="s">
        <v>387</v>
      </c>
      <c r="D9" s="146" t="s">
        <v>388</v>
      </c>
      <c r="E9" s="480"/>
      <c r="F9" s="41"/>
      <c r="G9" s="159"/>
      <c r="H9" s="30"/>
    </row>
    <row r="10" spans="1:8" ht="44.25" customHeight="1">
      <c r="A10" s="29">
        <v>1</v>
      </c>
      <c r="C10" s="219" t="s">
        <v>389</v>
      </c>
      <c r="D10" s="160">
        <f t="shared" ref="D10:D15" si="0">VLOOKUP(A10,BannerMD_BMT_HAPLOID,9,FALSE)</f>
        <v>6852</v>
      </c>
      <c r="E10" s="202"/>
      <c r="F10" s="41"/>
      <c r="G10" s="41"/>
      <c r="H10" s="147"/>
    </row>
    <row r="11" spans="1:8" ht="35.1" customHeight="1">
      <c r="A11" s="29">
        <v>2</v>
      </c>
      <c r="C11" s="219" t="s">
        <v>406</v>
      </c>
      <c r="D11" s="160">
        <f t="shared" si="0"/>
        <v>12094</v>
      </c>
      <c r="E11" s="211"/>
    </row>
    <row r="12" spans="1:8" ht="35.1" customHeight="1">
      <c r="A12" s="29">
        <v>3</v>
      </c>
      <c r="C12" s="219" t="s">
        <v>407</v>
      </c>
      <c r="D12" s="160">
        <f t="shared" si="0"/>
        <v>18212</v>
      </c>
      <c r="E12" s="211"/>
    </row>
    <row r="13" spans="1:8" ht="35.1" customHeight="1">
      <c r="A13" s="29">
        <v>4</v>
      </c>
      <c r="C13" s="220" t="s">
        <v>391</v>
      </c>
      <c r="D13" s="160">
        <f t="shared" si="0"/>
        <v>65882</v>
      </c>
      <c r="E13" s="211"/>
    </row>
    <row r="14" spans="1:8" ht="35.1" customHeight="1">
      <c r="A14" s="29">
        <v>5</v>
      </c>
      <c r="C14" s="212" t="s">
        <v>392</v>
      </c>
      <c r="D14" s="160">
        <f t="shared" si="0"/>
        <v>104065</v>
      </c>
      <c r="E14" s="211"/>
    </row>
    <row r="15" spans="1:8" ht="35.1" customHeight="1">
      <c r="A15" s="29">
        <v>6</v>
      </c>
      <c r="C15" s="212" t="s">
        <v>393</v>
      </c>
      <c r="D15" s="160">
        <f t="shared" si="0"/>
        <v>34413</v>
      </c>
      <c r="E15" s="211"/>
      <c r="H15" s="33"/>
    </row>
    <row r="16" spans="1:8" ht="40.5" customHeight="1">
      <c r="A16" s="29"/>
      <c r="C16" s="221" t="s">
        <v>408</v>
      </c>
      <c r="D16" s="336">
        <f>SUM(D10:D15)</f>
        <v>241518</v>
      </c>
    </row>
    <row r="17" spans="1:9">
      <c r="A17" s="47"/>
      <c r="D17" s="337"/>
    </row>
    <row r="18" spans="1:9" ht="48.6" customHeight="1">
      <c r="A18" s="29">
        <v>7</v>
      </c>
      <c r="C18" s="216" t="s">
        <v>395</v>
      </c>
      <c r="D18" s="160">
        <f>VLOOKUP(A18,BannerMD_BMT_HAPLOID,9,FALSE)</f>
        <v>2554</v>
      </c>
      <c r="E18" s="203"/>
      <c r="F18" s="30"/>
      <c r="G18" s="30"/>
      <c r="H18" s="48"/>
    </row>
    <row r="19" spans="1:9" ht="51" customHeight="1">
      <c r="A19" s="29">
        <v>8</v>
      </c>
      <c r="C19" s="44" t="s">
        <v>396</v>
      </c>
      <c r="D19" s="217">
        <f>VLOOKUP(A19,BannerMD_BMT_HAPLOID,9,FALSE)</f>
        <v>8014.1928120000002</v>
      </c>
      <c r="E19" s="45"/>
      <c r="F19" s="45"/>
      <c r="G19" s="45"/>
    </row>
    <row r="20" spans="1:9" ht="32.450000000000003" customHeight="1">
      <c r="A20" s="47"/>
      <c r="D20" s="293"/>
    </row>
    <row r="21" spans="1:9" ht="10.5" customHeight="1">
      <c r="A21" s="47"/>
      <c r="C21" s="218"/>
      <c r="D21" s="202" t="s">
        <v>409</v>
      </c>
    </row>
    <row r="22" spans="1:9" ht="77.45" customHeight="1">
      <c r="A22" s="29">
        <v>9</v>
      </c>
      <c r="C22" s="230" t="s">
        <v>410</v>
      </c>
      <c r="D22" s="160">
        <f>VLOOKUP(A22,BannerMD_BMT_HAPLOID,9,FALSE)</f>
        <v>318869.59445249999</v>
      </c>
    </row>
    <row r="23" spans="1:9" ht="33.950000000000003" customHeight="1">
      <c r="A23" s="29">
        <v>10</v>
      </c>
      <c r="C23" s="230" t="s">
        <v>411</v>
      </c>
      <c r="D23" s="231">
        <f>VLOOKUP(A23,BannerMD_BMT_HAPLOID,9,FALSE)</f>
        <v>0.5</v>
      </c>
    </row>
    <row r="24" spans="1:9" s="33" customFormat="1" ht="19.899999999999999" customHeight="1">
      <c r="A24" s="31"/>
      <c r="B24" s="204"/>
      <c r="C24" s="204"/>
      <c r="D24" s="204"/>
      <c r="E24" s="204"/>
      <c r="F24" s="32"/>
      <c r="G24" s="32"/>
    </row>
    <row r="25" spans="1:9" ht="80.25" customHeight="1">
      <c r="A25" s="47"/>
      <c r="C25" s="581" t="s">
        <v>404</v>
      </c>
      <c r="D25" s="582"/>
      <c r="E25" s="583"/>
    </row>
    <row r="26" spans="1:9">
      <c r="A26" s="47"/>
    </row>
    <row r="27" spans="1:9" ht="36.75" customHeight="1">
      <c r="A27" s="47"/>
      <c r="C27" s="567" t="s">
        <v>398</v>
      </c>
      <c r="D27" s="568"/>
      <c r="E27" s="568"/>
      <c r="F27" s="568"/>
      <c r="G27" s="569"/>
      <c r="I27" s="48"/>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FsEnUY5IDjBQOdomD0/zemCveWYRFCGizS3yaqFtcEf5R+6apbG2VKa54WI4sHsHbEfVdBuR9s1e82RTpaM8Aw==" saltValue="5AVM4Wjyz9ONutjYf4RnLw==" spinCount="100000" sheet="1" objects="1" scenarios="1"/>
  <mergeCells count="7">
    <mergeCell ref="B3:E3"/>
    <mergeCell ref="B6:E6"/>
    <mergeCell ref="C27:G27"/>
    <mergeCell ref="C25:E25"/>
    <mergeCell ref="B4:G4"/>
    <mergeCell ref="E7:G8"/>
    <mergeCell ref="B5:E5"/>
  </mergeCells>
  <printOptions horizontalCentered="1"/>
  <pageMargins left="0.25" right="0.25" top="0.25" bottom="0.25" header="0.25" footer="0.25"/>
  <pageSetup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39997558519241921"/>
    <pageSetUpPr fitToPage="1"/>
  </sheetPr>
  <dimension ref="A1:G35"/>
  <sheetViews>
    <sheetView showGridLines="0" topLeftCell="B10" zoomScale="90" zoomScaleNormal="90" zoomScaleSheetLayoutView="70" workbookViewId="0">
      <selection activeCell="E18" sqref="E18"/>
    </sheetView>
  </sheetViews>
  <sheetFormatPr defaultColWidth="9" defaultRowHeight="12.6"/>
  <cols>
    <col min="1" max="1" width="30.625" style="39" hidden="1" customWidth="1"/>
    <col min="2" max="2" width="6.625" style="207" customWidth="1"/>
    <col min="3" max="3" width="64" style="207" customWidth="1"/>
    <col min="4" max="4" width="33.375" style="207" customWidth="1"/>
    <col min="5" max="5" width="18.625" style="207" customWidth="1"/>
    <col min="6" max="6" width="13.5" style="39" customWidth="1"/>
    <col min="7"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1" t="s">
        <v>382</v>
      </c>
      <c r="C3" s="571"/>
      <c r="D3" s="571"/>
      <c r="E3" s="571"/>
    </row>
    <row r="4" spans="1:7" s="33" customFormat="1" ht="19.899999999999999" customHeight="1">
      <c r="A4" s="31"/>
      <c r="B4" s="571" t="s">
        <v>412</v>
      </c>
      <c r="C4" s="571"/>
      <c r="D4" s="571"/>
      <c r="E4" s="571"/>
      <c r="F4" s="83"/>
    </row>
    <row r="5" spans="1:7" s="33" customFormat="1" ht="19.899999999999999" customHeight="1">
      <c r="A5" s="31"/>
      <c r="B5" s="571" t="s">
        <v>384</v>
      </c>
      <c r="C5" s="571"/>
      <c r="D5" s="571"/>
      <c r="E5" s="571"/>
    </row>
    <row r="6" spans="1:7" s="33" customFormat="1" ht="19.899999999999999" customHeight="1">
      <c r="A6" s="31"/>
      <c r="B6" s="571" t="s">
        <v>385</v>
      </c>
      <c r="C6" s="571"/>
      <c r="D6" s="571"/>
      <c r="E6" s="571"/>
    </row>
    <row r="7" spans="1:7" ht="12.95">
      <c r="A7" s="47"/>
      <c r="D7" s="202"/>
      <c r="E7" s="585"/>
    </row>
    <row r="8" spans="1:7" ht="18" customHeight="1">
      <c r="A8" s="47"/>
      <c r="C8" s="208"/>
      <c r="D8" s="202" t="s">
        <v>413</v>
      </c>
      <c r="E8" s="585"/>
    </row>
    <row r="9" spans="1:7" ht="24.95" customHeight="1">
      <c r="A9" s="47"/>
      <c r="C9" s="146" t="s">
        <v>387</v>
      </c>
      <c r="D9" s="146" t="s">
        <v>388</v>
      </c>
      <c r="E9" s="202"/>
      <c r="G9" s="159"/>
    </row>
    <row r="10" spans="1:7" ht="45" customHeight="1">
      <c r="A10" s="29">
        <v>1</v>
      </c>
      <c r="C10" s="209" t="s">
        <v>389</v>
      </c>
      <c r="D10" s="160">
        <f t="shared" ref="D10:D15" si="0">VLOOKUP(A10,BannerMD_BMT_ALLO_UNREL,9,FALSE)</f>
        <v>4767</v>
      </c>
      <c r="E10" s="202"/>
    </row>
    <row r="11" spans="1:7" ht="35.1" customHeight="1">
      <c r="A11" s="29">
        <v>2</v>
      </c>
      <c r="C11" s="220" t="s">
        <v>414</v>
      </c>
      <c r="D11" s="158">
        <f t="shared" si="0"/>
        <v>7365</v>
      </c>
      <c r="E11" s="211"/>
    </row>
    <row r="12" spans="1:7" ht="35.1" customHeight="1">
      <c r="A12" s="29">
        <v>3</v>
      </c>
      <c r="C12" s="219" t="s">
        <v>407</v>
      </c>
      <c r="D12" s="158" t="str">
        <f t="shared" si="0"/>
        <v>NBMD or Cord blood Invoice Cost</v>
      </c>
      <c r="E12" s="211"/>
    </row>
    <row r="13" spans="1:7" ht="35.1" customHeight="1">
      <c r="A13" s="29">
        <v>4</v>
      </c>
      <c r="C13" s="220" t="s">
        <v>391</v>
      </c>
      <c r="D13" s="158">
        <f t="shared" si="0"/>
        <v>114462</v>
      </c>
      <c r="E13" s="211"/>
    </row>
    <row r="14" spans="1:7" ht="35.1" customHeight="1">
      <c r="A14" s="29">
        <v>5</v>
      </c>
      <c r="C14" s="212" t="s">
        <v>392</v>
      </c>
      <c r="D14" s="158">
        <f t="shared" si="0"/>
        <v>63286</v>
      </c>
      <c r="E14" s="211"/>
    </row>
    <row r="15" spans="1:7" ht="35.1" customHeight="1">
      <c r="A15" s="29">
        <v>6</v>
      </c>
      <c r="C15" s="212" t="s">
        <v>393</v>
      </c>
      <c r="D15" s="158">
        <f t="shared" si="0"/>
        <v>38020</v>
      </c>
      <c r="E15" s="211"/>
    </row>
    <row r="16" spans="1:7" ht="35.1" customHeight="1">
      <c r="A16" s="47"/>
      <c r="C16" s="221" t="s">
        <v>415</v>
      </c>
      <c r="D16" s="238">
        <f>SUM(D10:D15)</f>
        <v>227900</v>
      </c>
    </row>
    <row r="17" spans="1:7" ht="21" customHeight="1">
      <c r="A17" s="47"/>
      <c r="D17" s="239"/>
    </row>
    <row r="18" spans="1:7" ht="47.45" customHeight="1">
      <c r="A18" s="29">
        <v>7</v>
      </c>
      <c r="C18" s="216" t="s">
        <v>395</v>
      </c>
      <c r="D18" s="158">
        <f>VLOOKUP(A18,BannerMD_BMT_ALLO_UNREL,9,FALSE)</f>
        <v>2554</v>
      </c>
    </row>
    <row r="19" spans="1:7" ht="55.5" customHeight="1">
      <c r="A19" s="29">
        <v>8</v>
      </c>
      <c r="C19" s="52" t="s">
        <v>396</v>
      </c>
      <c r="D19" s="217">
        <f>VLOOKUP(A19,BannerMD_BMT_ALLO_UNREL,9,FALSE)</f>
        <v>8014.1928120000002</v>
      </c>
      <c r="E19" s="45"/>
      <c r="F19" s="147"/>
    </row>
    <row r="20" spans="1:7" ht="29.1" customHeight="1">
      <c r="A20" s="47"/>
      <c r="D20" s="215"/>
    </row>
    <row r="21" spans="1:7" ht="24" customHeight="1">
      <c r="A21" s="47"/>
      <c r="C21" s="218"/>
      <c r="D21" s="467" t="s">
        <v>409</v>
      </c>
    </row>
    <row r="22" spans="1:7" ht="63.6" customHeight="1">
      <c r="A22" s="29">
        <v>9</v>
      </c>
      <c r="C22" s="228" t="s">
        <v>416</v>
      </c>
      <c r="D22" s="234">
        <f>VLOOKUP(A22,BannerMD_BMT_ALLO_UNREL,9,FALSE)</f>
        <v>282076</v>
      </c>
    </row>
    <row r="23" spans="1:7" ht="37.5" customHeight="1">
      <c r="A23" s="29">
        <v>10</v>
      </c>
      <c r="C23" s="230" t="s">
        <v>411</v>
      </c>
      <c r="D23" s="231">
        <f>VLOOKUP(A23,BannerMD_BMT_ALLO_UNREL,9,FALSE)</f>
        <v>0.5</v>
      </c>
    </row>
    <row r="24" spans="1:7" ht="24.6" customHeight="1">
      <c r="A24" s="47"/>
    </row>
    <row r="25" spans="1:7" ht="64.5" customHeight="1">
      <c r="A25" s="47"/>
      <c r="C25" s="581" t="s">
        <v>417</v>
      </c>
      <c r="D25" s="582"/>
      <c r="E25" s="583"/>
    </row>
    <row r="26" spans="1:7">
      <c r="A26" s="47"/>
    </row>
    <row r="27" spans="1:7" ht="36.75" customHeight="1">
      <c r="A27" s="47"/>
      <c r="C27" s="581" t="s">
        <v>398</v>
      </c>
      <c r="D27" s="582"/>
      <c r="E27" s="582"/>
      <c r="F27" s="48"/>
      <c r="G27" s="48"/>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CUGike+J+5h7y+JJqqJ8l4U66zlUb0cIGgHkXpk24y1G4pQ/yp+14QkOVJRs0VaQ5I+rTl3aIBaPawpALAcSZQ==" saltValue="cn5te9j6VSP+5wF4a9fK6A==" spinCount="100000" sheet="1" objects="1" scenarios="1"/>
  <mergeCells count="7">
    <mergeCell ref="C27:E27"/>
    <mergeCell ref="E7:E8"/>
    <mergeCell ref="B3:E3"/>
    <mergeCell ref="B4:E4"/>
    <mergeCell ref="B6:E6"/>
    <mergeCell ref="B5:E5"/>
    <mergeCell ref="C25:E25"/>
  </mergeCells>
  <pageMargins left="0.25" right="0.25" top="0.25" bottom="0.25" header="0.25" footer="0.25"/>
  <pageSetup scale="6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E074-9C66-437B-A5C5-3CEF894ED7EB}">
  <sheetPr codeName="Sheet6">
    <tabColor theme="9" tint="0.39997558519241921"/>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7" s="483" customFormat="1" ht="20.100000000000001" hidden="1" customHeight="1">
      <c r="A1" s="481" t="e" cm="1">
        <f t="array" aca="1" ref="A1" ca="1">MID(CELL("filename",A1),FIND("]",CELL("filename",A1))+1,255)</f>
        <v>#VALUE!</v>
      </c>
      <c r="B1" s="482"/>
      <c r="C1" s="29">
        <v>3</v>
      </c>
      <c r="D1" s="113">
        <v>4</v>
      </c>
    </row>
    <row r="2" spans="1:7">
      <c r="A2" s="47"/>
    </row>
    <row r="3" spans="1:7" s="33" customFormat="1" ht="19.899999999999999" customHeight="1">
      <c r="A3" s="31"/>
      <c r="B3" s="571" t="s">
        <v>382</v>
      </c>
      <c r="C3" s="571"/>
      <c r="D3" s="571"/>
      <c r="E3" s="571"/>
    </row>
    <row r="4" spans="1:7" s="33" customFormat="1" ht="19.899999999999999" customHeight="1">
      <c r="A4" s="31"/>
      <c r="B4" s="571" t="s">
        <v>418</v>
      </c>
      <c r="C4" s="571"/>
      <c r="D4" s="571"/>
      <c r="E4" s="303"/>
    </row>
    <row r="5" spans="1:7" s="33" customFormat="1" ht="19.899999999999999" customHeight="1">
      <c r="A5" s="31"/>
      <c r="B5" s="571" t="s">
        <v>384</v>
      </c>
      <c r="C5" s="571"/>
      <c r="D5" s="571"/>
      <c r="E5" s="571"/>
    </row>
    <row r="6" spans="1:7" s="33" customFormat="1" ht="19.899999999999999" customHeight="1">
      <c r="A6" s="31"/>
      <c r="B6" s="571" t="s">
        <v>385</v>
      </c>
      <c r="C6" s="571"/>
      <c r="D6" s="571"/>
      <c r="E6" s="571"/>
    </row>
    <row r="7" spans="1:7" s="38" customFormat="1" ht="14.1">
      <c r="A7" s="37"/>
      <c r="B7" s="205"/>
      <c r="C7" s="206"/>
      <c r="D7" s="304"/>
      <c r="E7" s="205"/>
    </row>
    <row r="8" spans="1:7" ht="12.95">
      <c r="A8" s="47"/>
      <c r="C8" s="208"/>
      <c r="D8" s="202" t="s">
        <v>419</v>
      </c>
    </row>
    <row r="9" spans="1:7" ht="39" customHeight="1">
      <c r="A9" s="47"/>
      <c r="C9" s="305" t="s">
        <v>387</v>
      </c>
      <c r="D9" s="305" t="s">
        <v>388</v>
      </c>
      <c r="G9" s="159"/>
    </row>
    <row r="10" spans="1:7" ht="36" customHeight="1">
      <c r="A10" s="150">
        <v>1</v>
      </c>
      <c r="C10" s="230" t="s">
        <v>420</v>
      </c>
      <c r="D10" s="165">
        <f>VLOOKUP(A10,BannerMD_TBI,9,FALSE)</f>
        <v>8072</v>
      </c>
    </row>
    <row r="11" spans="1:7" ht="35.1" customHeight="1">
      <c r="A11" s="149"/>
      <c r="C11" s="476" t="s">
        <v>421</v>
      </c>
      <c r="D11" s="477">
        <f>SUM(D10)</f>
        <v>8072</v>
      </c>
    </row>
    <row r="12" spans="1:7">
      <c r="A12" s="47"/>
      <c r="C12" s="478"/>
      <c r="D12" s="479"/>
    </row>
    <row r="13" spans="1:7">
      <c r="A13" s="47"/>
      <c r="C13" s="218"/>
    </row>
    <row r="14" spans="1:7" ht="12.75" customHeight="1">
      <c r="A14" s="47"/>
      <c r="C14" s="352" t="s">
        <v>422</v>
      </c>
    </row>
    <row r="15" spans="1:7">
      <c r="A15" s="47"/>
      <c r="C15" s="218"/>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Lwwckl1R9Z2vgwPK18bK9MNO+uEITJDxdhhexNAW5r8wJBfZlkGAYv5FOaPXIMH9z95EZQD4OB+DhUkYYLxE0A==" saltValue="Az48sriZN1pSTpBUH7KuFw==" spinCount="100000" sheet="1" objects="1" scenarios="1"/>
  <mergeCells count="4">
    <mergeCell ref="B4:D4"/>
    <mergeCell ref="B3:E3"/>
    <mergeCell ref="B6:E6"/>
    <mergeCell ref="B5:E5"/>
  </mergeCells>
  <printOptions horizontalCentered="1"/>
  <pageMargins left="0.25" right="0.25" top="0.25" bottom="0.25" header="0.25" footer="0.25"/>
  <pageSetup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theme="5"/>
    <pageSetUpPr fitToPage="1"/>
  </sheetPr>
  <dimension ref="A1:H35"/>
  <sheetViews>
    <sheetView showGridLines="0" topLeftCell="B2" zoomScale="90" zoomScaleNormal="90" zoomScaleSheetLayoutView="8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2.125" style="207" customWidth="1"/>
    <col min="5" max="5" width="20.375" style="207" bestFit="1" customWidth="1"/>
    <col min="6" max="6" width="18.625" style="39" customWidth="1"/>
    <col min="7" max="7" width="12.625" style="39" customWidth="1"/>
    <col min="8" max="8" width="14.375" style="39" customWidth="1"/>
    <col min="9" max="16384" width="9" style="39"/>
  </cols>
  <sheetData>
    <row r="1" spans="1:8" s="483" customFormat="1" ht="20.100000000000001" hidden="1" customHeight="1">
      <c r="A1" s="481" t="e" cm="1">
        <f t="array" aca="1" ref="A1" ca="1">MID(CELL("filename",A1),FIND("]",CELL("filename",A1))+1,255)</f>
        <v>#VALUE!</v>
      </c>
      <c r="B1" s="482"/>
      <c r="C1" s="29">
        <v>3</v>
      </c>
      <c r="D1" s="29">
        <v>4</v>
      </c>
    </row>
    <row r="2" spans="1:8" ht="19.899999999999999" customHeight="1">
      <c r="A2" s="47"/>
    </row>
    <row r="3" spans="1:8" s="33" customFormat="1" ht="19.899999999999999" customHeight="1">
      <c r="A3" s="31"/>
      <c r="B3" s="570" t="s">
        <v>423</v>
      </c>
      <c r="C3" s="570"/>
      <c r="D3" s="570"/>
      <c r="E3" s="570"/>
      <c r="F3" s="570"/>
      <c r="G3" s="570"/>
    </row>
    <row r="4" spans="1:8" s="33" customFormat="1" ht="19.899999999999999" customHeight="1">
      <c r="A4" s="31"/>
      <c r="B4" s="570" t="s">
        <v>424</v>
      </c>
      <c r="C4" s="570"/>
      <c r="D4" s="570"/>
      <c r="E4" s="570"/>
      <c r="F4" s="570"/>
      <c r="G4" s="570"/>
    </row>
    <row r="5" spans="1:8" s="33" customFormat="1" ht="19.899999999999999" customHeight="1">
      <c r="A5" s="31"/>
      <c r="B5" s="571" t="s">
        <v>384</v>
      </c>
      <c r="C5" s="571"/>
      <c r="D5" s="571"/>
      <c r="E5" s="571"/>
      <c r="F5" s="571"/>
      <c r="G5" s="571"/>
    </row>
    <row r="6" spans="1:8" s="33" customFormat="1" ht="19.899999999999999" customHeight="1">
      <c r="A6" s="31"/>
      <c r="B6" s="570" t="s">
        <v>425</v>
      </c>
      <c r="C6" s="570"/>
      <c r="D6" s="570"/>
      <c r="E6" s="570"/>
      <c r="F6" s="570"/>
      <c r="G6" s="570"/>
    </row>
    <row r="7" spans="1:8" ht="13.5" customHeight="1">
      <c r="A7" s="47"/>
      <c r="D7" s="202"/>
      <c r="E7" s="584"/>
      <c r="F7" s="584"/>
      <c r="G7" s="584"/>
    </row>
    <row r="8" spans="1:8" ht="12.95">
      <c r="A8" s="47"/>
      <c r="C8" s="208"/>
      <c r="D8" s="202" t="s">
        <v>413</v>
      </c>
      <c r="E8" s="584"/>
      <c r="F8" s="584"/>
      <c r="G8" s="584"/>
    </row>
    <row r="9" spans="1:8" ht="35.1" customHeight="1">
      <c r="A9" s="47"/>
      <c r="C9" s="146" t="s">
        <v>387</v>
      </c>
      <c r="D9" s="146" t="s">
        <v>388</v>
      </c>
      <c r="E9" s="202"/>
      <c r="F9" s="41"/>
      <c r="G9" s="159"/>
    </row>
    <row r="10" spans="1:8" ht="51" customHeight="1">
      <c r="A10" s="29">
        <v>1</v>
      </c>
      <c r="C10" s="209" t="s">
        <v>389</v>
      </c>
      <c r="D10" s="166">
        <f>VLOOKUP(A10,BUMCP_HEART,9,FALSE)</f>
        <v>10448</v>
      </c>
      <c r="E10" s="202"/>
      <c r="F10" s="41"/>
      <c r="G10" s="41"/>
    </row>
    <row r="11" spans="1:8" ht="35.1" customHeight="1">
      <c r="A11" s="29">
        <v>2</v>
      </c>
      <c r="C11" s="220" t="s">
        <v>391</v>
      </c>
      <c r="D11" s="166">
        <f>VLOOKUP(A11,BUMCP_HEART,9,FALSE)</f>
        <v>130267</v>
      </c>
      <c r="E11" s="211"/>
    </row>
    <row r="12" spans="1:8" ht="35.1" customHeight="1">
      <c r="A12" s="29">
        <v>3</v>
      </c>
      <c r="C12" s="212" t="s">
        <v>392</v>
      </c>
      <c r="D12" s="166">
        <f>VLOOKUP(A12,BUMCP_HEART,9,FALSE)</f>
        <v>98660</v>
      </c>
      <c r="E12" s="211"/>
    </row>
    <row r="13" spans="1:8" ht="35.1" customHeight="1">
      <c r="A13" s="29">
        <v>4</v>
      </c>
      <c r="C13" s="212" t="s">
        <v>393</v>
      </c>
      <c r="D13" s="166">
        <f>VLOOKUP(A13,BUMCP_HEART,9,FALSE)</f>
        <v>41929</v>
      </c>
      <c r="E13" s="211"/>
    </row>
    <row r="14" spans="1:8" ht="35.1" customHeight="1">
      <c r="A14" s="47"/>
      <c r="C14" s="221" t="s">
        <v>426</v>
      </c>
      <c r="D14" s="336">
        <f>SUM(D10:D13)</f>
        <v>281304</v>
      </c>
    </row>
    <row r="15" spans="1:8" ht="16.5" customHeight="1">
      <c r="A15" s="47"/>
      <c r="D15" s="348"/>
    </row>
    <row r="16" spans="1:8" ht="44.1" customHeight="1">
      <c r="A16" s="29">
        <v>5</v>
      </c>
      <c r="C16" s="216" t="s">
        <v>395</v>
      </c>
      <c r="D16" s="166">
        <f>VLOOKUP(A16,BUMCP_HEART,9,FALSE)</f>
        <v>2554</v>
      </c>
      <c r="E16" s="203"/>
      <c r="F16" s="30"/>
      <c r="G16" s="30"/>
      <c r="H16" s="30"/>
    </row>
    <row r="17" spans="1:8" ht="54.6" customHeight="1">
      <c r="A17" s="29">
        <v>6</v>
      </c>
      <c r="C17" s="52" t="s">
        <v>396</v>
      </c>
      <c r="D17" s="217">
        <f>VLOOKUP(A17,BUMCP_HEART,9,FALSE)</f>
        <v>8014.1928120000002</v>
      </c>
      <c r="E17" s="45"/>
      <c r="F17" s="45"/>
      <c r="G17" s="45"/>
      <c r="H17" s="147"/>
    </row>
    <row r="18" spans="1:8">
      <c r="A18" s="47"/>
      <c r="D18" s="338"/>
    </row>
    <row r="19" spans="1:8" ht="39" customHeight="1">
      <c r="A19" s="47"/>
      <c r="C19" s="218"/>
      <c r="D19" s="467" t="s">
        <v>409</v>
      </c>
    </row>
    <row r="20" spans="1:8" ht="51.6" customHeight="1">
      <c r="A20" s="29">
        <v>7</v>
      </c>
      <c r="C20" s="228" t="s">
        <v>427</v>
      </c>
      <c r="D20" s="474">
        <f>VLOOKUP(A20,BUMCP_HEART,9,FALSE)</f>
        <v>355662</v>
      </c>
      <c r="E20" s="567" t="s">
        <v>428</v>
      </c>
      <c r="F20" s="568"/>
      <c r="G20" s="569"/>
    </row>
    <row r="21" spans="1:8" ht="34.5" customHeight="1">
      <c r="A21" s="29">
        <v>8</v>
      </c>
      <c r="C21" s="230" t="s">
        <v>411</v>
      </c>
      <c r="D21" s="231">
        <f>VLOOKUP(A21,BUMCP_HEART,9,FALSE)</f>
        <v>0.5</v>
      </c>
      <c r="E21" s="45"/>
      <c r="F21" s="53"/>
      <c r="G21" s="53"/>
    </row>
    <row r="22" spans="1:8">
      <c r="A22" s="47"/>
      <c r="C22" s="218"/>
      <c r="D22" s="475"/>
      <c r="E22" s="218"/>
    </row>
    <row r="23" spans="1:8" ht="60" customHeight="1">
      <c r="A23" s="47"/>
      <c r="C23" s="567" t="s">
        <v>429</v>
      </c>
      <c r="D23" s="568"/>
      <c r="E23" s="568"/>
      <c r="F23" s="568"/>
      <c r="G23" s="569"/>
    </row>
    <row r="24" spans="1:8" ht="12.6" customHeight="1">
      <c r="A24" s="47"/>
      <c r="C24" s="218"/>
      <c r="D24" s="290"/>
      <c r="E24" s="218"/>
      <c r="F24" s="148"/>
    </row>
    <row r="25" spans="1:8" ht="52.5" customHeight="1">
      <c r="A25" s="47"/>
      <c r="C25" s="567" t="s">
        <v>417</v>
      </c>
      <c r="D25" s="568"/>
      <c r="E25" s="568"/>
      <c r="F25" s="568"/>
      <c r="G25" s="569"/>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uFivXLVPfN8evn6ZPhZMiPbPkXQSIxujNK4Dso1x2w7JXOe3TDg6MrMmO/uHGU8GutRYbwZMq8airySs96Obpw==" saltValue="v2sRlaR2nCnM1VucUE6TzA==" spinCount="100000" sheet="1" objects="1" scenarios="1"/>
  <mergeCells count="8">
    <mergeCell ref="E20:G20"/>
    <mergeCell ref="C23:G23"/>
    <mergeCell ref="C25:G25"/>
    <mergeCell ref="B3:G3"/>
    <mergeCell ref="B4:G4"/>
    <mergeCell ref="B5:G5"/>
    <mergeCell ref="B6:G6"/>
    <mergeCell ref="E7:G8"/>
  </mergeCells>
  <printOptions horizontalCentered="1"/>
  <pageMargins left="0.25" right="0.25" top="0.25" bottom="0.25" header="0.25" footer="0.25"/>
  <pageSetup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5"/>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5" style="207" customWidth="1"/>
    <col min="4" max="4" width="20.625" style="207" customWidth="1"/>
    <col min="5" max="5" width="41.5" style="207" customWidth="1"/>
    <col min="6" max="6" width="9" style="39"/>
    <col min="7" max="7" width="13.75"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c r="H2" s="108"/>
    </row>
    <row r="3" spans="1:8" s="33" customFormat="1" ht="15.6">
      <c r="A3" s="31"/>
      <c r="B3" s="571" t="s">
        <v>423</v>
      </c>
      <c r="C3" s="571"/>
      <c r="D3" s="571"/>
      <c r="E3" s="571"/>
    </row>
    <row r="4" spans="1:8" s="33" customFormat="1" ht="15.6">
      <c r="A4" s="31" t="s">
        <v>430</v>
      </c>
      <c r="B4" s="571" t="s">
        <v>431</v>
      </c>
      <c r="C4" s="571"/>
      <c r="D4" s="571"/>
      <c r="E4" s="571"/>
    </row>
    <row r="5" spans="1:8" s="33" customFormat="1" ht="15.6">
      <c r="A5" s="31"/>
      <c r="B5" s="571" t="s">
        <v>384</v>
      </c>
      <c r="C5" s="571"/>
      <c r="D5" s="571"/>
      <c r="E5" s="571"/>
      <c r="F5" s="85"/>
    </row>
    <row r="6" spans="1:8" s="33" customFormat="1" ht="15.6">
      <c r="A6" s="31"/>
      <c r="B6" s="571" t="s">
        <v>425</v>
      </c>
      <c r="C6" s="571"/>
      <c r="D6" s="571"/>
      <c r="E6" s="571"/>
    </row>
    <row r="7" spans="1:8" s="38" customFormat="1" ht="14.1">
      <c r="A7" s="37"/>
      <c r="B7" s="205"/>
      <c r="C7" s="206"/>
      <c r="D7" s="304"/>
      <c r="E7" s="304"/>
    </row>
    <row r="8" spans="1:8" ht="12.95">
      <c r="A8" s="47"/>
      <c r="C8" s="208"/>
      <c r="D8" s="202" t="s">
        <v>386</v>
      </c>
      <c r="E8" s="202"/>
    </row>
    <row r="9" spans="1:8" ht="35.1" customHeight="1">
      <c r="A9" s="47"/>
      <c r="C9" s="146" t="s">
        <v>387</v>
      </c>
      <c r="D9" s="146" t="s">
        <v>388</v>
      </c>
      <c r="E9" s="202"/>
      <c r="G9" s="159"/>
    </row>
    <row r="10" spans="1:8" ht="46.5" customHeight="1">
      <c r="A10" s="29">
        <v>1</v>
      </c>
      <c r="C10" s="209" t="s">
        <v>389</v>
      </c>
      <c r="D10" s="158">
        <f>VLOOKUP(A10,BUMCP_KIDNEY_CADAVERIC,9,FALSE)</f>
        <v>5328</v>
      </c>
      <c r="E10" s="202"/>
    </row>
    <row r="11" spans="1:8" ht="35.1" customHeight="1">
      <c r="A11" s="29">
        <v>2</v>
      </c>
      <c r="C11" s="219" t="s">
        <v>432</v>
      </c>
      <c r="D11" s="158">
        <f>VLOOKUP(A11,BUMCP_KIDNEY_CADAVERIC,9,FALSE)</f>
        <v>126161</v>
      </c>
      <c r="E11" s="211"/>
    </row>
    <row r="12" spans="1:8" ht="35.1" customHeight="1">
      <c r="A12" s="47"/>
      <c r="C12" s="221" t="s">
        <v>433</v>
      </c>
      <c r="D12" s="238">
        <f>SUM(D10:D11)</f>
        <v>131489</v>
      </c>
    </row>
    <row r="13" spans="1:8">
      <c r="A13" s="47"/>
      <c r="D13" s="239"/>
    </row>
    <row r="14" spans="1:8" ht="45" customHeight="1">
      <c r="A14" s="29">
        <v>3</v>
      </c>
      <c r="C14" s="216" t="s">
        <v>434</v>
      </c>
      <c r="D14" s="158">
        <f>VLOOKUP(A14,BUMCP_KIDNEY_CADAVERIC,9,FALSE)</f>
        <v>2554</v>
      </c>
      <c r="E14" s="203"/>
      <c r="F14" s="30"/>
      <c r="G14" s="30"/>
    </row>
    <row r="15" spans="1:8" ht="53.45" customHeight="1">
      <c r="A15" s="29">
        <v>4</v>
      </c>
      <c r="C15" s="52" t="s">
        <v>396</v>
      </c>
      <c r="D15" s="217">
        <f>VLOOKUP(A15,BUMCP_KIDNEY_CADAVERIC,9,FALSE)</f>
        <v>8014.1928120000002</v>
      </c>
      <c r="E15" s="45"/>
      <c r="F15" s="45"/>
      <c r="G15" s="147"/>
    </row>
    <row r="16" spans="1:8" ht="15.6">
      <c r="A16" s="29"/>
      <c r="D16" s="293"/>
    </row>
    <row r="17" spans="1:5" ht="60.75" customHeight="1">
      <c r="A17" s="47"/>
      <c r="C17" s="581" t="s">
        <v>397</v>
      </c>
      <c r="D17" s="582"/>
      <c r="E17" s="583"/>
    </row>
    <row r="18" spans="1:5" ht="15.6">
      <c r="A18" s="29"/>
      <c r="D18" s="293"/>
    </row>
    <row r="19" spans="1:5" ht="15.6">
      <c r="A19" s="29"/>
    </row>
    <row r="20" spans="1:5">
      <c r="A20" s="47"/>
    </row>
    <row r="21" spans="1:5">
      <c r="A21" s="47"/>
    </row>
    <row r="22" spans="1:5">
      <c r="A22" s="47"/>
    </row>
    <row r="23" spans="1:5">
      <c r="A23" s="47"/>
    </row>
    <row r="24" spans="1:5">
      <c r="A24" s="47"/>
    </row>
    <row r="25" spans="1:5">
      <c r="A25" s="47"/>
    </row>
    <row r="26" spans="1:5">
      <c r="A26" s="47"/>
    </row>
    <row r="27" spans="1:5">
      <c r="A27" s="47"/>
    </row>
    <row r="28" spans="1:5">
      <c r="A28" s="47"/>
    </row>
    <row r="29" spans="1:5">
      <c r="A29" s="47"/>
    </row>
    <row r="30" spans="1:5">
      <c r="A30" s="47"/>
    </row>
    <row r="31" spans="1:5">
      <c r="A31" s="47"/>
    </row>
    <row r="32" spans="1:5">
      <c r="A32" s="47"/>
    </row>
    <row r="33" spans="1:1">
      <c r="A33" s="47"/>
    </row>
    <row r="34" spans="1:1">
      <c r="A34" s="47"/>
    </row>
    <row r="35" spans="1:1">
      <c r="A35" s="47"/>
    </row>
  </sheetData>
  <sheetProtection algorithmName="SHA-512" hashValue="Z72VQ+F947FWnf8KRIC+UlbVuvmAffK17gbDhkZjiwrvYcquV/vpgpFPSeXlffGGAuuXJEvM4T4WtZrhm2BTgA==" saltValue="nEJtZTgmIN1tHbK2dtgZVw==" spinCount="100000" sheet="1" objects="1" scenarios="1"/>
  <mergeCells count="5">
    <mergeCell ref="B3:E3"/>
    <mergeCell ref="B4:E4"/>
    <mergeCell ref="B6:E6"/>
    <mergeCell ref="B5:E5"/>
    <mergeCell ref="C17:E17"/>
  </mergeCells>
  <printOptions horizontalCentered="1"/>
  <pageMargins left="0.25" right="0.25" top="0.25" bottom="0.25" header="0.25" footer="0.25"/>
  <pageSetup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5"/>
    <pageSetUpPr fitToPage="1"/>
  </sheetPr>
  <dimension ref="A1:I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2.625" style="207" customWidth="1"/>
    <col min="4" max="4" width="23.375" style="207" customWidth="1"/>
    <col min="5" max="5" width="18.625" style="207" customWidth="1"/>
    <col min="6" max="6" width="22.75" style="39" customWidth="1"/>
    <col min="7" max="7" width="15.5" style="39" customWidth="1"/>
    <col min="8"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1" t="s">
        <v>423</v>
      </c>
      <c r="C3" s="571"/>
      <c r="D3" s="571"/>
      <c r="E3" s="571"/>
    </row>
    <row r="4" spans="1:9" s="33" customFormat="1" ht="19.899999999999999" customHeight="1">
      <c r="A4" s="31"/>
      <c r="B4" s="571" t="s">
        <v>435</v>
      </c>
      <c r="C4" s="571"/>
      <c r="D4" s="571"/>
      <c r="E4" s="571"/>
    </row>
    <row r="5" spans="1:9" s="33" customFormat="1" ht="19.899999999999999" customHeight="1">
      <c r="A5" s="31"/>
      <c r="B5" s="571" t="s">
        <v>384</v>
      </c>
      <c r="C5" s="571"/>
      <c r="D5" s="571"/>
      <c r="E5" s="571"/>
    </row>
    <row r="6" spans="1:9" s="33" customFormat="1" ht="19.899999999999999" customHeight="1">
      <c r="A6" s="31"/>
      <c r="B6" s="571" t="s">
        <v>425</v>
      </c>
      <c r="C6" s="571"/>
      <c r="D6" s="571"/>
      <c r="E6" s="571"/>
    </row>
    <row r="7" spans="1:9" ht="15.6">
      <c r="A7" s="47"/>
      <c r="D7" s="202"/>
      <c r="F7" s="570"/>
      <c r="G7" s="570"/>
      <c r="H7" s="570"/>
      <c r="I7" s="570"/>
    </row>
    <row r="8" spans="1:9" ht="12.95">
      <c r="A8" s="47"/>
      <c r="C8" s="208"/>
      <c r="D8" s="202" t="s">
        <v>386</v>
      </c>
      <c r="E8" s="202"/>
      <c r="F8" s="41"/>
    </row>
    <row r="9" spans="1:9" ht="35.1" customHeight="1">
      <c r="A9" s="47"/>
      <c r="C9" s="146" t="s">
        <v>387</v>
      </c>
      <c r="D9" s="473" t="s">
        <v>388</v>
      </c>
      <c r="E9" s="202"/>
      <c r="F9" s="41"/>
      <c r="G9" s="159"/>
    </row>
    <row r="10" spans="1:9" ht="44.25" customHeight="1">
      <c r="A10" s="29">
        <v>1</v>
      </c>
      <c r="C10" s="209" t="s">
        <v>389</v>
      </c>
      <c r="D10" s="158">
        <f>VLOOKUP(A10,BUMCP_KIDNEY_LIVING,9,FALSE)</f>
        <v>5328</v>
      </c>
      <c r="E10" s="202"/>
      <c r="F10" s="41"/>
    </row>
    <row r="11" spans="1:9" ht="35.1" customHeight="1">
      <c r="A11" s="29">
        <v>2</v>
      </c>
      <c r="C11" s="219" t="s">
        <v>436</v>
      </c>
      <c r="D11" s="158">
        <f>VLOOKUP(A11,BUMCP_KIDNEY_LIVING,9,FALSE)</f>
        <v>126161</v>
      </c>
      <c r="E11" s="211"/>
    </row>
    <row r="12" spans="1:9" ht="35.1" customHeight="1">
      <c r="A12" s="29">
        <v>3</v>
      </c>
      <c r="C12" s="219" t="s">
        <v>437</v>
      </c>
      <c r="D12" s="158">
        <f>VLOOKUP(A12,BUMCP_KIDNEY_LIVING,9,FALSE)</f>
        <v>20008</v>
      </c>
      <c r="E12" s="211"/>
    </row>
    <row r="13" spans="1:9" ht="35.1" customHeight="1">
      <c r="A13" s="47"/>
      <c r="C13" s="221" t="s">
        <v>438</v>
      </c>
      <c r="D13" s="238">
        <f>SUM(D10:D12)</f>
        <v>151497</v>
      </c>
    </row>
    <row r="14" spans="1:9" ht="20.45" customHeight="1">
      <c r="A14" s="47"/>
      <c r="D14" s="239"/>
    </row>
    <row r="15" spans="1:9" ht="50.45" customHeight="1">
      <c r="A15" s="29">
        <v>4</v>
      </c>
      <c r="C15" s="216" t="s">
        <v>434</v>
      </c>
      <c r="D15" s="158">
        <f>VLOOKUP(A15,BUMCP_KIDNEY_LIVING,9,FALSE)</f>
        <v>2554</v>
      </c>
      <c r="E15" s="203"/>
      <c r="F15" s="30"/>
      <c r="G15" s="30"/>
    </row>
    <row r="16" spans="1:9" ht="57" customHeight="1">
      <c r="A16" s="29">
        <v>5</v>
      </c>
      <c r="C16" s="52" t="s">
        <v>396</v>
      </c>
      <c r="D16" s="217">
        <f>VLOOKUP(A16,BUMCP_KIDNEY_LIVING,9,FALSE)</f>
        <v>8014.1928120000002</v>
      </c>
      <c r="E16" s="45"/>
      <c r="F16" s="45"/>
      <c r="G16" s="147"/>
    </row>
    <row r="17" spans="1:6" ht="23.45" customHeight="1">
      <c r="A17" s="47"/>
    </row>
    <row r="18" spans="1:6" s="38" customFormat="1" ht="63.95" customHeight="1">
      <c r="A18" s="37"/>
      <c r="B18" s="205"/>
      <c r="C18" s="567" t="s">
        <v>397</v>
      </c>
      <c r="D18" s="568"/>
      <c r="E18" s="568"/>
      <c r="F18" s="569"/>
    </row>
    <row r="19" spans="1:6">
      <c r="A19" s="47"/>
      <c r="D19" s="293"/>
    </row>
    <row r="20" spans="1:6">
      <c r="A20" s="47"/>
      <c r="D20" s="293"/>
    </row>
    <row r="21" spans="1:6">
      <c r="A21" s="47"/>
    </row>
    <row r="22" spans="1:6">
      <c r="A22" s="47"/>
    </row>
    <row r="23" spans="1:6">
      <c r="A23" s="47"/>
    </row>
    <row r="24" spans="1:6">
      <c r="A24" s="47"/>
    </row>
    <row r="25" spans="1:6">
      <c r="A25" s="47"/>
    </row>
    <row r="26" spans="1:6">
      <c r="A26" s="47"/>
    </row>
    <row r="27" spans="1:6">
      <c r="A27" s="47"/>
    </row>
    <row r="28" spans="1:6">
      <c r="A28" s="47"/>
    </row>
    <row r="29" spans="1:6">
      <c r="A29" s="47"/>
    </row>
    <row r="30" spans="1:6">
      <c r="A30" s="47"/>
    </row>
    <row r="31" spans="1:6">
      <c r="A31" s="47"/>
    </row>
    <row r="32" spans="1:6">
      <c r="A32" s="47"/>
    </row>
    <row r="33" spans="1:1">
      <c r="A33" s="47"/>
    </row>
    <row r="34" spans="1:1">
      <c r="A34" s="47"/>
    </row>
    <row r="35" spans="1:1">
      <c r="A35" s="47"/>
    </row>
  </sheetData>
  <sheetProtection algorithmName="SHA-512" hashValue="+WlUrbzs8cu3U8t4KpKNHVO9Sjh+ejmcNR1NEA29N4u1LqNyUZsETVndfcG5cVkPRZdey1MXr8LkqLJA/ytgLw==" saltValue="ffjDV6Z0rnJ2rJ/jhFuCjA==" spinCount="100000" sheet="1" objects="1" scenarios="1"/>
  <mergeCells count="6">
    <mergeCell ref="B3:E3"/>
    <mergeCell ref="B4:E4"/>
    <mergeCell ref="B5:E5"/>
    <mergeCell ref="B6:E6"/>
    <mergeCell ref="C18:F18"/>
    <mergeCell ref="F7:I7"/>
  </mergeCells>
  <printOptions horizontalCentered="1"/>
  <pageMargins left="0.25" right="0.25" top="0.25" bottom="0.25" header="0.25" footer="0.25"/>
  <pageSetup scale="6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5"/>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4" style="39" hidden="1" customWidth="1"/>
    <col min="2" max="2" width="6.625" style="207" customWidth="1"/>
    <col min="3" max="3" width="71.875" style="207" customWidth="1"/>
    <col min="4" max="4" width="22.25" style="207" bestFit="1" customWidth="1"/>
    <col min="5" max="5" width="18.625" style="207" customWidth="1"/>
    <col min="6" max="6" width="24.125" style="39" customWidth="1"/>
    <col min="7" max="7" width="14"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c r="B2" s="218"/>
    </row>
    <row r="3" spans="1:7" s="33" customFormat="1" ht="19.899999999999999" customHeight="1">
      <c r="A3" s="31"/>
      <c r="B3" s="571" t="s">
        <v>423</v>
      </c>
      <c r="C3" s="571"/>
      <c r="D3" s="571"/>
      <c r="E3" s="571"/>
      <c r="G3" s="83"/>
    </row>
    <row r="4" spans="1:7" s="33" customFormat="1" ht="19.899999999999999" customHeight="1">
      <c r="A4" s="31"/>
      <c r="B4" s="571" t="s">
        <v>439</v>
      </c>
      <c r="C4" s="571"/>
      <c r="D4" s="571"/>
      <c r="E4" s="571"/>
      <c r="G4" s="83"/>
    </row>
    <row r="5" spans="1:7" s="33" customFormat="1" ht="19.899999999999999" customHeight="1">
      <c r="A5" s="31"/>
      <c r="B5" s="571" t="s">
        <v>384</v>
      </c>
      <c r="C5" s="571"/>
      <c r="D5" s="571"/>
      <c r="E5" s="571"/>
      <c r="G5" s="83"/>
    </row>
    <row r="6" spans="1:7" s="33" customFormat="1" ht="19.899999999999999" customHeight="1">
      <c r="A6" s="31"/>
      <c r="B6" s="571" t="s">
        <v>425</v>
      </c>
      <c r="C6" s="571"/>
      <c r="D6" s="571"/>
      <c r="E6" s="571"/>
      <c r="G6" s="83"/>
    </row>
    <row r="7" spans="1:7" ht="12.95">
      <c r="A7" s="47"/>
      <c r="D7" s="202"/>
    </row>
    <row r="8" spans="1:7" ht="12.95">
      <c r="A8" s="47"/>
      <c r="C8" s="208"/>
      <c r="D8" s="202" t="s">
        <v>386</v>
      </c>
      <c r="E8" s="202"/>
      <c r="F8" s="41"/>
      <c r="G8" s="41"/>
    </row>
    <row r="9" spans="1:7" s="48" customFormat="1" ht="35.1" customHeight="1">
      <c r="A9" s="62"/>
      <c r="B9" s="207"/>
      <c r="C9" s="361" t="s">
        <v>387</v>
      </c>
      <c r="D9" s="471" t="s">
        <v>388</v>
      </c>
      <c r="E9" s="202"/>
      <c r="F9" s="41"/>
      <c r="G9" s="159"/>
    </row>
    <row r="10" spans="1:7" s="48" customFormat="1" ht="50.25" customHeight="1">
      <c r="A10" s="29">
        <v>1</v>
      </c>
      <c r="B10" s="207"/>
      <c r="C10" s="209" t="s">
        <v>389</v>
      </c>
      <c r="D10" s="158">
        <f>VLOOKUP(A10,BUMCP_PANCREA_AFTER_KDY,9,FALSE)</f>
        <v>3843</v>
      </c>
      <c r="E10" s="202"/>
      <c r="F10" s="41"/>
      <c r="G10" s="39"/>
    </row>
    <row r="11" spans="1:7" ht="35.1" customHeight="1">
      <c r="A11" s="29">
        <v>2</v>
      </c>
      <c r="C11" s="472" t="s">
        <v>391</v>
      </c>
      <c r="D11" s="158">
        <f>VLOOKUP(A11,BUMCP_PANCREA_AFTER_KDY,9,FALSE)</f>
        <v>95668</v>
      </c>
      <c r="E11" s="211"/>
    </row>
    <row r="12" spans="1:7" ht="35.1" customHeight="1">
      <c r="A12" s="29">
        <v>3</v>
      </c>
      <c r="C12" s="212" t="s">
        <v>392</v>
      </c>
      <c r="D12" s="158">
        <f>VLOOKUP(A12,BUMCP_PANCREA_AFTER_KDY,9,FALSE)</f>
        <v>42548</v>
      </c>
      <c r="E12" s="211"/>
    </row>
    <row r="13" spans="1:7" ht="35.1" customHeight="1">
      <c r="A13" s="29">
        <v>4</v>
      </c>
      <c r="C13" s="212" t="s">
        <v>440</v>
      </c>
      <c r="D13" s="158">
        <f>VLOOKUP(A13,BUMCP_PANCREA_AFTER_KDY,9,FALSE)</f>
        <v>9262</v>
      </c>
      <c r="E13" s="211"/>
    </row>
    <row r="14" spans="1:7" ht="35.1" customHeight="1">
      <c r="A14" s="47"/>
      <c r="C14" s="221" t="s">
        <v>441</v>
      </c>
      <c r="D14" s="238">
        <f>SUM(D10:D13)</f>
        <v>151321</v>
      </c>
      <c r="G14" s="112"/>
    </row>
    <row r="15" spans="1:7">
      <c r="A15" s="47"/>
      <c r="C15" s="218"/>
      <c r="D15" s="239"/>
    </row>
    <row r="16" spans="1:7" ht="42.6" customHeight="1">
      <c r="A16" s="29">
        <v>5</v>
      </c>
      <c r="C16" s="216" t="s">
        <v>395</v>
      </c>
      <c r="D16" s="158">
        <f>VLOOKUP(A16,BUMCP_PANCREA_AFTER_KDY,9,FALSE)</f>
        <v>2554</v>
      </c>
      <c r="E16" s="203"/>
      <c r="F16" s="30"/>
      <c r="G16" s="30"/>
    </row>
    <row r="17" spans="1:7" ht="51.6" customHeight="1">
      <c r="A17" s="29">
        <v>6</v>
      </c>
      <c r="C17" s="52" t="s">
        <v>396</v>
      </c>
      <c r="D17" s="217">
        <f>VLOOKUP(A17,BUMCP_PANCREA_AFTER_KDY,9,FALSE)</f>
        <v>8014.1928120000002</v>
      </c>
      <c r="E17" s="45"/>
      <c r="F17" s="45"/>
      <c r="G17" s="147"/>
    </row>
    <row r="18" spans="1:7">
      <c r="A18" s="47"/>
    </row>
    <row r="19" spans="1:7" s="38" customFormat="1" ht="14.1">
      <c r="A19" s="37"/>
      <c r="B19" s="205"/>
      <c r="C19" s="206"/>
      <c r="D19" s="205"/>
      <c r="E19" s="205"/>
    </row>
    <row r="20" spans="1:7" s="38" customFormat="1" ht="62.25" customHeight="1">
      <c r="A20" s="37"/>
      <c r="B20" s="205"/>
      <c r="C20" s="567" t="s">
        <v>397</v>
      </c>
      <c r="D20" s="568"/>
      <c r="E20" s="568"/>
      <c r="F20" s="569"/>
    </row>
    <row r="21" spans="1:7">
      <c r="A21" s="47"/>
      <c r="D21" s="215"/>
    </row>
    <row r="22" spans="1:7">
      <c r="A22" s="47"/>
      <c r="D22" s="215"/>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OdzuMvbHUWgV59FPeE/Yy+cOywEl+INvZMqstdBksUMxHczvTSZ0GKLU2HkChCrpBeWgBQSJAfu6VvVj98zfOg==" saltValue="v4WhSMksuOGp7nmFYvJWpw==" spinCount="100000" sheet="1" objects="1" scenarios="1"/>
  <mergeCells count="5">
    <mergeCell ref="B3:E3"/>
    <mergeCell ref="B4:E4"/>
    <mergeCell ref="B5:E5"/>
    <mergeCell ref="B6:E6"/>
    <mergeCell ref="C20:F20"/>
  </mergeCells>
  <printOptions horizontalCentered="1"/>
  <pageMargins left="0.25" right="0.25" top="0.25" bottom="0.25" header="0.25" footer="0.25"/>
  <pageSetup scale="7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theme="5"/>
    <pageSetUpPr fitToPage="1"/>
  </sheetPr>
  <dimension ref="A1:G35"/>
  <sheetViews>
    <sheetView showGridLines="0" topLeftCell="B2" zoomScale="90" zoomScaleNormal="90" zoomScaleSheetLayoutView="70" workbookViewId="0">
      <selection activeCell="E10" sqref="E10"/>
    </sheetView>
  </sheetViews>
  <sheetFormatPr defaultColWidth="24.25" defaultRowHeight="12.6"/>
  <cols>
    <col min="1" max="1" width="32.75" style="39" hidden="1" customWidth="1"/>
    <col min="2" max="2" width="6.625" style="207" customWidth="1"/>
    <col min="3" max="3" width="64" style="207" customWidth="1"/>
    <col min="4" max="4" width="24.25" style="207"/>
    <col min="5" max="5" width="20.875" style="207" customWidth="1"/>
    <col min="6" max="6" width="22.5" style="39" customWidth="1"/>
    <col min="7" max="7" width="15.125" style="39" customWidth="1"/>
    <col min="8" max="16384" width="24.25" style="39"/>
  </cols>
  <sheetData>
    <row r="1" spans="1:7" s="483" customFormat="1" ht="20.100000000000001" hidden="1" customHeight="1">
      <c r="A1" s="481" t="e" cm="1">
        <f t="array" aca="1" ref="A1" ca="1">MID(CELL("filename",A1),FIND("]",CELL("filename",A1))+1,255)</f>
        <v>#VALUE!</v>
      </c>
      <c r="B1" s="482"/>
      <c r="C1" s="29">
        <v>3</v>
      </c>
      <c r="D1" s="29">
        <v>4</v>
      </c>
    </row>
    <row r="2" spans="1:7">
      <c r="A2" s="47"/>
      <c r="B2" s="218"/>
    </row>
    <row r="3" spans="1:7" s="33" customFormat="1" ht="19.899999999999999" customHeight="1">
      <c r="A3" s="31"/>
      <c r="B3" s="571" t="s">
        <v>423</v>
      </c>
      <c r="C3" s="571"/>
      <c r="D3" s="571"/>
      <c r="E3" s="571"/>
      <c r="F3" s="83"/>
    </row>
    <row r="4" spans="1:7" s="33" customFormat="1" ht="19.899999999999999" customHeight="1">
      <c r="A4" s="31"/>
      <c r="B4" s="571" t="s">
        <v>442</v>
      </c>
      <c r="C4" s="571"/>
      <c r="D4" s="571"/>
      <c r="E4" s="571"/>
      <c r="F4" s="83"/>
    </row>
    <row r="5" spans="1:7" s="33" customFormat="1" ht="19.899999999999999" customHeight="1">
      <c r="A5" s="31"/>
      <c r="B5" s="571" t="s">
        <v>384</v>
      </c>
      <c r="C5" s="571"/>
      <c r="D5" s="571"/>
      <c r="E5" s="571"/>
      <c r="F5" s="85"/>
    </row>
    <row r="6" spans="1:7" s="33" customFormat="1" ht="19.899999999999999" customHeight="1">
      <c r="A6" s="31"/>
      <c r="B6" s="571" t="s">
        <v>425</v>
      </c>
      <c r="C6" s="571"/>
      <c r="D6" s="571"/>
      <c r="E6" s="571"/>
      <c r="F6" s="83"/>
    </row>
    <row r="7" spans="1:7" s="38" customFormat="1" ht="14.1">
      <c r="A7" s="37"/>
      <c r="B7" s="205"/>
      <c r="C7" s="206"/>
      <c r="D7" s="205"/>
      <c r="E7" s="205"/>
    </row>
    <row r="8" spans="1:7" ht="20.25" customHeight="1">
      <c r="A8" s="47"/>
      <c r="C8" s="208"/>
      <c r="D8" s="202" t="s">
        <v>386</v>
      </c>
      <c r="E8" s="202"/>
      <c r="F8" s="41"/>
    </row>
    <row r="9" spans="1:7" ht="35.1" customHeight="1">
      <c r="A9" s="47"/>
      <c r="C9" s="146" t="s">
        <v>387</v>
      </c>
      <c r="D9" s="146" t="s">
        <v>388</v>
      </c>
      <c r="E9" s="202"/>
      <c r="F9" s="41"/>
      <c r="G9" s="159"/>
    </row>
    <row r="10" spans="1:7" ht="44.25" customHeight="1">
      <c r="A10" s="29">
        <v>1</v>
      </c>
      <c r="C10" s="209" t="s">
        <v>389</v>
      </c>
      <c r="D10" s="158">
        <f>VLOOKUP(A10,BUMCP_SIM_KIDNEY_PANCR,9,FALSE)</f>
        <v>5518</v>
      </c>
      <c r="E10" s="202"/>
      <c r="F10" s="41"/>
    </row>
    <row r="11" spans="1:7" ht="35.1" customHeight="1">
      <c r="A11" s="29">
        <v>2</v>
      </c>
      <c r="C11" s="220" t="s">
        <v>391</v>
      </c>
      <c r="D11" s="158">
        <f>VLOOKUP(A11,BUMCP_SIM_KIDNEY_PANCR,9,FALSE)</f>
        <v>136293</v>
      </c>
      <c r="E11" s="211"/>
    </row>
    <row r="12" spans="1:7" ht="35.1" customHeight="1">
      <c r="A12" s="29">
        <v>3</v>
      </c>
      <c r="C12" s="212" t="s">
        <v>392</v>
      </c>
      <c r="D12" s="158">
        <f>VLOOKUP(A12,BUMCP_SIM_KIDNEY_PANCR,9,FALSE)</f>
        <v>55217</v>
      </c>
      <c r="E12" s="211"/>
    </row>
    <row r="13" spans="1:7" ht="35.1" customHeight="1">
      <c r="A13" s="29">
        <v>4</v>
      </c>
      <c r="C13" s="212" t="s">
        <v>440</v>
      </c>
      <c r="D13" s="158">
        <f>VLOOKUP(A13,BUMCP_SIM_KIDNEY_PANCR,9,FALSE)</f>
        <v>10396</v>
      </c>
      <c r="E13" s="211"/>
    </row>
    <row r="14" spans="1:7" ht="35.1" customHeight="1">
      <c r="A14" s="47"/>
      <c r="C14" s="221" t="s">
        <v>443</v>
      </c>
      <c r="D14" s="238">
        <f>SUM(D10:D13)</f>
        <v>207424</v>
      </c>
    </row>
    <row r="15" spans="1:7">
      <c r="A15" s="47"/>
      <c r="C15" s="218"/>
      <c r="D15" s="239"/>
    </row>
    <row r="16" spans="1:7" ht="42.6" customHeight="1">
      <c r="A16" s="29">
        <v>5</v>
      </c>
      <c r="C16" s="216" t="s">
        <v>395</v>
      </c>
      <c r="D16" s="158">
        <f>VLOOKUP(A16,BUMCP_SIM_KIDNEY_PANCR,9,FALSE)</f>
        <v>2554</v>
      </c>
      <c r="E16" s="203"/>
      <c r="F16" s="30"/>
      <c r="G16" s="30"/>
    </row>
    <row r="17" spans="1:7" ht="51.6" customHeight="1">
      <c r="A17" s="29">
        <v>6</v>
      </c>
      <c r="C17" s="52" t="s">
        <v>396</v>
      </c>
      <c r="D17" s="217">
        <f>VLOOKUP(A17,BUMCP_SIM_KIDNEY_PANCR,9,FALSE)</f>
        <v>8014.1928120000002</v>
      </c>
      <c r="E17" s="45"/>
      <c r="F17" s="45"/>
      <c r="G17" s="147"/>
    </row>
    <row r="18" spans="1:7" ht="27.6" customHeight="1">
      <c r="A18" s="47"/>
    </row>
    <row r="19" spans="1:7" s="38" customFormat="1" ht="52.5" customHeight="1">
      <c r="A19" s="37"/>
      <c r="B19" s="205"/>
      <c r="C19" s="567" t="s">
        <v>397</v>
      </c>
      <c r="D19" s="568"/>
      <c r="E19" s="568"/>
      <c r="F19" s="569"/>
    </row>
    <row r="20" spans="1:7">
      <c r="A20" s="47"/>
      <c r="D20" s="215"/>
    </row>
    <row r="21" spans="1:7">
      <c r="A21" s="47"/>
      <c r="D21" s="215"/>
    </row>
    <row r="22" spans="1:7">
      <c r="A22" s="47"/>
    </row>
    <row r="23" spans="1:7" ht="44.25" customHeight="1">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bwQrrpKi7Sm/EPdB3QexAa6Xl5KcS9sg4dJiMELYHsieriuPPMuy6lefnXKpRk6/HBXlbgG6xn3Xxm4oem5SXA==" saltValue="7AfSGdPrz0BBsGaQWAEhGg==" spinCount="100000" sheet="1" objects="1" scenarios="1"/>
  <mergeCells count="5">
    <mergeCell ref="C19:F19"/>
    <mergeCell ref="B3:E3"/>
    <mergeCell ref="B4:E4"/>
    <mergeCell ref="B5:E5"/>
    <mergeCell ref="B6:E6"/>
  </mergeCells>
  <printOptions horizontalCentered="1"/>
  <pageMargins left="0.25" right="0.25" top="0.25" bottom="0.25" header="0.25" footer="0.25"/>
  <pageSetup scale="7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tabColor theme="5"/>
    <pageSetUpPr fitToPage="1"/>
  </sheetPr>
  <dimension ref="A1:J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0.625" style="207" customWidth="1"/>
    <col min="5" max="5" width="18.625" style="207" customWidth="1"/>
    <col min="6" max="6" width="19.375" style="39" customWidth="1"/>
    <col min="7" max="7" width="14.875" style="39" customWidth="1"/>
    <col min="8" max="16384" width="9" style="39"/>
  </cols>
  <sheetData>
    <row r="1" spans="1:10" s="483" customFormat="1" ht="20.100000000000001" hidden="1" customHeight="1">
      <c r="A1" s="481" t="e" cm="1">
        <f t="array" aca="1" ref="A1" ca="1">MID(CELL("filename",A1),FIND("]",CELL("filename",A1))+1,255)</f>
        <v>#VALUE!</v>
      </c>
      <c r="B1" s="482"/>
      <c r="C1" s="29">
        <v>3</v>
      </c>
      <c r="D1" s="29">
        <v>4</v>
      </c>
    </row>
    <row r="2" spans="1:10">
      <c r="A2" s="47"/>
    </row>
    <row r="3" spans="1:10" s="33" customFormat="1" ht="19.899999999999999" customHeight="1">
      <c r="A3" s="31"/>
      <c r="B3" s="570" t="s">
        <v>423</v>
      </c>
      <c r="C3" s="570"/>
      <c r="D3" s="570"/>
      <c r="E3" s="570"/>
      <c r="F3" s="570"/>
    </row>
    <row r="4" spans="1:10" s="33" customFormat="1" ht="19.899999999999999" customHeight="1">
      <c r="A4" s="31"/>
      <c r="B4" s="570" t="s">
        <v>444</v>
      </c>
      <c r="C4" s="570"/>
      <c r="D4" s="570"/>
      <c r="E4" s="570"/>
      <c r="F4" s="570"/>
    </row>
    <row r="5" spans="1:10" s="33" customFormat="1" ht="19.899999999999999" customHeight="1">
      <c r="A5" s="31"/>
      <c r="B5" s="571" t="s">
        <v>384</v>
      </c>
      <c r="C5" s="571"/>
      <c r="D5" s="571"/>
      <c r="E5" s="571"/>
      <c r="F5" s="571"/>
    </row>
    <row r="6" spans="1:10" s="33" customFormat="1" ht="19.899999999999999" customHeight="1">
      <c r="A6" s="31"/>
      <c r="B6" s="570" t="s">
        <v>425</v>
      </c>
      <c r="C6" s="570"/>
      <c r="D6" s="570"/>
      <c r="E6" s="570"/>
      <c r="F6" s="570"/>
    </row>
    <row r="7" spans="1:10" s="38" customFormat="1" ht="15.6">
      <c r="A7" s="37"/>
      <c r="B7" s="205"/>
      <c r="C7" s="206"/>
      <c r="D7" s="304"/>
      <c r="E7" s="304"/>
      <c r="F7" s="570"/>
      <c r="G7" s="570"/>
      <c r="H7" s="570"/>
      <c r="I7" s="570"/>
      <c r="J7" s="570"/>
    </row>
    <row r="8" spans="1:10" ht="12.95">
      <c r="A8" s="47"/>
      <c r="C8" s="208"/>
      <c r="D8" s="202" t="s">
        <v>386</v>
      </c>
      <c r="E8" s="202"/>
      <c r="F8" s="41"/>
    </row>
    <row r="9" spans="1:10" ht="24.95" customHeight="1">
      <c r="A9" s="47"/>
      <c r="C9" s="146" t="s">
        <v>387</v>
      </c>
      <c r="D9" s="146" t="s">
        <v>388</v>
      </c>
      <c r="E9" s="202"/>
      <c r="F9" s="41"/>
      <c r="G9" s="159"/>
    </row>
    <row r="10" spans="1:10" ht="47.25" customHeight="1">
      <c r="A10" s="29">
        <v>1</v>
      </c>
      <c r="C10" s="209" t="s">
        <v>389</v>
      </c>
      <c r="D10" s="158">
        <f>VLOOKUP(A10,BUMCP_CAD_LIVER,9,FALSE)</f>
        <v>8017</v>
      </c>
      <c r="E10" s="202"/>
      <c r="F10" s="41"/>
    </row>
    <row r="11" spans="1:10" ht="35.1" customHeight="1">
      <c r="A11" s="29">
        <v>2</v>
      </c>
      <c r="C11" s="220" t="s">
        <v>391</v>
      </c>
      <c r="D11" s="158">
        <f>VLOOKUP(A11,BUMCP_CAD_LIVER,9,FALSE)</f>
        <v>170126</v>
      </c>
      <c r="E11" s="211"/>
    </row>
    <row r="12" spans="1:10" ht="48" customHeight="1">
      <c r="A12" s="29">
        <v>3</v>
      </c>
      <c r="C12" s="212" t="s">
        <v>392</v>
      </c>
      <c r="D12" s="158">
        <f>VLOOKUP(A12,BUMCP_CAD_LIVER,9,FALSE)</f>
        <v>78633</v>
      </c>
      <c r="E12" s="211"/>
    </row>
    <row r="13" spans="1:10" ht="33" customHeight="1">
      <c r="A13" s="29">
        <v>4</v>
      </c>
      <c r="C13" s="212" t="s">
        <v>393</v>
      </c>
      <c r="D13" s="158">
        <f>VLOOKUP(A13,BUMCP_CAD_LIVER,9,FALSE)</f>
        <v>39315</v>
      </c>
      <c r="E13" s="211"/>
    </row>
    <row r="14" spans="1:10" ht="35.1" customHeight="1">
      <c r="A14" s="47"/>
      <c r="C14" s="221" t="s">
        <v>445</v>
      </c>
      <c r="D14" s="238">
        <f>SUM(D10:D13)</f>
        <v>296091</v>
      </c>
    </row>
    <row r="15" spans="1:10">
      <c r="A15" s="47"/>
      <c r="C15" s="218"/>
      <c r="D15" s="239"/>
    </row>
    <row r="16" spans="1:10" ht="42.6" customHeight="1">
      <c r="A16" s="29">
        <v>5</v>
      </c>
      <c r="C16" s="216" t="s">
        <v>395</v>
      </c>
      <c r="D16" s="158">
        <f>VLOOKUP(A16,BUMCP_CAD_LIVER,9,FALSE)</f>
        <v>2554</v>
      </c>
      <c r="E16" s="203"/>
      <c r="F16" s="30"/>
      <c r="G16" s="30"/>
    </row>
    <row r="17" spans="1:7" ht="51.6" customHeight="1">
      <c r="A17" s="29">
        <v>6</v>
      </c>
      <c r="C17" s="52" t="s">
        <v>396</v>
      </c>
      <c r="D17" s="217">
        <f>VLOOKUP(A17,BUMCP_CAD_LIVER,9,FALSE)</f>
        <v>8014.1928120000002</v>
      </c>
      <c r="E17" s="45"/>
      <c r="F17" s="45"/>
      <c r="G17" s="147"/>
    </row>
    <row r="18" spans="1:7" ht="29.1" customHeight="1">
      <c r="A18" s="47"/>
    </row>
    <row r="19" spans="1:7" s="38" customFormat="1" ht="60" customHeight="1">
      <c r="A19" s="37"/>
      <c r="B19" s="205"/>
      <c r="C19" s="567" t="s">
        <v>397</v>
      </c>
      <c r="D19" s="568"/>
      <c r="E19" s="568"/>
      <c r="F19" s="569"/>
    </row>
    <row r="20" spans="1:7">
      <c r="A20" s="47"/>
      <c r="D20" s="215"/>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Qf94e/lkN+fUaahGeD2e5/Mt6cucZx3Yid/ee2Xuwx0CjU5tYZcyQ2Xt5EsBEqEtoYPTjTtxa+g67u+ZK1tHSA==" saltValue="Xba8CHkcl4Rv0uGXtxX8Qg==" spinCount="100000" sheet="1" objects="1" scenarios="1"/>
  <mergeCells count="6">
    <mergeCell ref="C19:F19"/>
    <mergeCell ref="B3:F3"/>
    <mergeCell ref="B4:F4"/>
    <mergeCell ref="B5:F5"/>
    <mergeCell ref="B6:F6"/>
    <mergeCell ref="F7:J7"/>
  </mergeCells>
  <printOptions horizontalCentered="1"/>
  <pageMargins left="0.25" right="0.25" top="0.25" bottom="0.25" header="0.25" footer="0.25"/>
  <pageSetup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tabColor theme="5"/>
    <pageSetUpPr fitToPage="1"/>
  </sheetPr>
  <dimension ref="A1:G35"/>
  <sheetViews>
    <sheetView showGridLines="0" topLeftCell="B2" zoomScale="90" zoomScaleNormal="90" zoomScaleSheetLayoutView="70" workbookViewId="0">
      <selection activeCell="C17" sqref="C17"/>
    </sheetView>
  </sheetViews>
  <sheetFormatPr defaultColWidth="9" defaultRowHeight="12.6"/>
  <cols>
    <col min="1" max="1" width="30.625" style="48" hidden="1" customWidth="1"/>
    <col min="2" max="2" width="6.625" style="290" customWidth="1"/>
    <col min="3" max="3" width="64" style="290" customWidth="1"/>
    <col min="4" max="4" width="22.875" style="290" customWidth="1"/>
    <col min="5" max="5" width="11.5" style="290" customWidth="1"/>
    <col min="6" max="6" width="25.875" style="48" customWidth="1"/>
    <col min="7" max="7" width="15.37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c r="B2" s="207"/>
      <c r="C2" s="207"/>
      <c r="D2" s="207"/>
      <c r="E2" s="207"/>
      <c r="F2" s="39"/>
    </row>
    <row r="3" spans="1:7" s="88" customFormat="1" ht="19.899999999999999" customHeight="1">
      <c r="A3" s="87"/>
      <c r="B3" s="570" t="s">
        <v>423</v>
      </c>
      <c r="C3" s="570"/>
      <c r="D3" s="570"/>
      <c r="E3" s="570"/>
      <c r="F3" s="570"/>
    </row>
    <row r="4" spans="1:7" s="88" customFormat="1" ht="19.899999999999999" customHeight="1">
      <c r="A4" s="87"/>
      <c r="B4" s="570" t="s">
        <v>446</v>
      </c>
      <c r="C4" s="570"/>
      <c r="D4" s="570"/>
      <c r="E4" s="570"/>
      <c r="F4" s="570"/>
    </row>
    <row r="5" spans="1:7" s="88" customFormat="1" ht="19.899999999999999" customHeight="1">
      <c r="A5" s="87"/>
      <c r="B5" s="571" t="s">
        <v>384</v>
      </c>
      <c r="C5" s="571"/>
      <c r="D5" s="571"/>
      <c r="E5" s="571"/>
      <c r="F5" s="571"/>
    </row>
    <row r="6" spans="1:7" s="88" customFormat="1" ht="19.899999999999999" customHeight="1">
      <c r="A6" s="87"/>
      <c r="B6" s="570" t="s">
        <v>425</v>
      </c>
      <c r="C6" s="570"/>
      <c r="D6" s="570"/>
      <c r="E6" s="570"/>
      <c r="F6" s="570"/>
    </row>
    <row r="7" spans="1:7" ht="15.6">
      <c r="A7" s="62"/>
      <c r="B7" s="204"/>
      <c r="C7" s="204" t="s">
        <v>80</v>
      </c>
      <c r="D7" s="204"/>
      <c r="E7" s="204"/>
      <c r="F7" s="32"/>
    </row>
    <row r="8" spans="1:7" s="39" customFormat="1" ht="27.95" customHeight="1">
      <c r="A8" s="47"/>
      <c r="B8" s="207"/>
      <c r="C8" s="208"/>
      <c r="D8" s="202" t="s">
        <v>386</v>
      </c>
      <c r="E8" s="586"/>
      <c r="F8" s="586"/>
    </row>
    <row r="9" spans="1:7" s="39" customFormat="1" ht="35.1" customHeight="1">
      <c r="A9" s="47"/>
      <c r="B9" s="207"/>
      <c r="C9" s="146" t="s">
        <v>387</v>
      </c>
      <c r="D9" s="146" t="s">
        <v>388</v>
      </c>
      <c r="E9" s="202"/>
      <c r="F9" s="41"/>
      <c r="G9" s="159"/>
    </row>
    <row r="10" spans="1:7" s="39" customFormat="1" ht="47.25" customHeight="1">
      <c r="A10" s="29">
        <v>1</v>
      </c>
      <c r="B10" s="207"/>
      <c r="C10" s="209" t="s">
        <v>389</v>
      </c>
      <c r="D10" s="158">
        <f>VLOOKUP(A10,BUMCP_SIMUL_CAD_LIV_KDY,9,FALSE)</f>
        <v>8271</v>
      </c>
      <c r="E10" s="202"/>
      <c r="F10" s="41"/>
    </row>
    <row r="11" spans="1:7" s="39" customFormat="1" ht="35.1" customHeight="1">
      <c r="A11" s="29">
        <v>2</v>
      </c>
      <c r="B11" s="207"/>
      <c r="C11" s="212" t="s">
        <v>391</v>
      </c>
      <c r="D11" s="158">
        <f>VLOOKUP(A11,BUMCP_SIMUL_CAD_LIV_KDY,9,FALSE)</f>
        <v>224676</v>
      </c>
      <c r="E11" s="207"/>
    </row>
    <row r="12" spans="1:7" s="39" customFormat="1" ht="35.1" customHeight="1">
      <c r="A12" s="29">
        <v>3</v>
      </c>
      <c r="B12" s="207"/>
      <c r="C12" s="212" t="s">
        <v>392</v>
      </c>
      <c r="D12" s="158">
        <f>VLOOKUP(A12,BUMCP_SIMUL_CAD_LIV_KDY,9,FALSE)</f>
        <v>121642</v>
      </c>
      <c r="E12" s="207"/>
    </row>
    <row r="13" spans="1:7" s="39" customFormat="1" ht="35.1" customHeight="1">
      <c r="A13" s="29">
        <v>4</v>
      </c>
      <c r="B13" s="207"/>
      <c r="C13" s="212" t="s">
        <v>393</v>
      </c>
      <c r="D13" s="158">
        <f>VLOOKUP(A13,BUMCP_SIMUL_CAD_LIV_KDY,9,FALSE)</f>
        <v>44084</v>
      </c>
      <c r="E13" s="207"/>
    </row>
    <row r="14" spans="1:7" s="39" customFormat="1" ht="44.1" customHeight="1">
      <c r="A14" s="47"/>
      <c r="B14" s="207"/>
      <c r="C14" s="221" t="s">
        <v>447</v>
      </c>
      <c r="D14" s="238">
        <f>SUM(D10:D13)</f>
        <v>398673</v>
      </c>
      <c r="E14" s="207"/>
    </row>
    <row r="15" spans="1:7" s="39" customFormat="1" ht="12.95">
      <c r="A15" s="47"/>
      <c r="B15" s="207"/>
      <c r="C15" s="221"/>
      <c r="D15" s="296"/>
      <c r="E15" s="207"/>
    </row>
    <row r="16" spans="1:7" s="39" customFormat="1" ht="42.6" customHeight="1">
      <c r="A16" s="29">
        <v>5</v>
      </c>
      <c r="B16" s="207"/>
      <c r="C16" s="216" t="s">
        <v>395</v>
      </c>
      <c r="D16" s="158">
        <f>VLOOKUP(A16,BUMCP_SIMUL_CAD_LIV_KDY,9,FALSE)</f>
        <v>2554</v>
      </c>
      <c r="E16" s="203"/>
      <c r="F16" s="30"/>
      <c r="G16" s="30"/>
    </row>
    <row r="17" spans="1:7" s="39" customFormat="1" ht="51.6" customHeight="1">
      <c r="A17" s="29">
        <v>6</v>
      </c>
      <c r="B17" s="207"/>
      <c r="C17" s="52" t="s">
        <v>396</v>
      </c>
      <c r="D17" s="217">
        <f>VLOOKUP(A17,BUMCP_SIMUL_CAD_LIV_KDY,9,FALSE)</f>
        <v>8014.1928120000002</v>
      </c>
      <c r="E17" s="45"/>
      <c r="F17" s="45"/>
      <c r="G17" s="147"/>
    </row>
    <row r="18" spans="1:7" ht="27" customHeight="1">
      <c r="A18" s="62"/>
      <c r="B18" s="207"/>
      <c r="C18" s="218"/>
      <c r="D18" s="207"/>
      <c r="E18" s="207"/>
      <c r="F18" s="39"/>
    </row>
    <row r="19" spans="1:7" ht="65.25" customHeight="1">
      <c r="A19" s="62"/>
      <c r="B19" s="205"/>
      <c r="C19" s="567" t="s">
        <v>417</v>
      </c>
      <c r="D19" s="568"/>
      <c r="E19" s="568"/>
      <c r="F19" s="569"/>
    </row>
    <row r="20" spans="1:7">
      <c r="A20" s="62"/>
      <c r="B20" s="207"/>
      <c r="D20" s="207"/>
      <c r="E20" s="207"/>
      <c r="F20" s="39"/>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MskcAppajC8Th/dcDhURHZh/X+lns4hsOETI8qpq4DisclI+AKTieXPVDhieToaT0GEiX9VS6Tb+8kJLFctkBQ==" saltValue="1BBYIsOTlhxAP0TEwcVODg==" spinCount="100000" sheet="1" objects="1" scenarios="1"/>
  <mergeCells count="6">
    <mergeCell ref="C19:F19"/>
    <mergeCell ref="B3:F3"/>
    <mergeCell ref="B4:F4"/>
    <mergeCell ref="B6:F6"/>
    <mergeCell ref="E8:F8"/>
    <mergeCell ref="B5:F5"/>
  </mergeCells>
  <printOptions horizontalCentered="1"/>
  <pageMargins left="0.25" right="0.25" top="0.25" bottom="0.25" header="0.25" footer="0.25"/>
  <pageSetup scale="7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FFFF00"/>
    <pageSetUpPr fitToPage="1"/>
  </sheetPr>
  <dimension ref="A1:I35"/>
  <sheetViews>
    <sheetView showGridLines="0" topLeftCell="B2" zoomScale="90" zoomScaleNormal="90" zoomScaleSheetLayoutView="70" workbookViewId="0">
      <selection activeCell="F9" sqref="F9"/>
    </sheetView>
  </sheetViews>
  <sheetFormatPr defaultColWidth="9" defaultRowHeight="12.6"/>
  <cols>
    <col min="1" max="1" width="30.625" style="30" hidden="1" customWidth="1"/>
    <col min="2" max="2" width="6.625" style="203" customWidth="1"/>
    <col min="3" max="3" width="66.75" style="203" customWidth="1"/>
    <col min="4" max="4" width="27.875" style="203" customWidth="1"/>
    <col min="5" max="5" width="25.375" style="203" customWidth="1"/>
    <col min="6" max="7" width="14.5" style="30" customWidth="1"/>
    <col min="8" max="16384" width="9" style="30"/>
  </cols>
  <sheetData>
    <row r="1" spans="1:7" s="493" customFormat="1" ht="20.100000000000001" hidden="1" customHeight="1">
      <c r="A1" s="481" t="e" cm="1">
        <f t="array" aca="1" ref="A1" ca="1">MID(CELL("filename",A1),FIND("]",CELL("filename",A1))+1,255)</f>
        <v>#VALUE!</v>
      </c>
      <c r="B1" s="492"/>
      <c r="C1" s="29">
        <v>3</v>
      </c>
      <c r="D1" s="29">
        <v>4</v>
      </c>
    </row>
    <row r="2" spans="1:7">
      <c r="A2" s="28"/>
    </row>
    <row r="3" spans="1:7" s="33" customFormat="1" ht="19.899999999999999" customHeight="1">
      <c r="A3" s="31"/>
      <c r="B3" s="303"/>
      <c r="C3" s="571" t="s">
        <v>448</v>
      </c>
      <c r="D3" s="571"/>
      <c r="E3" s="571"/>
      <c r="F3" s="83"/>
      <c r="G3" s="83"/>
    </row>
    <row r="4" spans="1:7" s="33" customFormat="1" ht="19.899999999999999" customHeight="1">
      <c r="A4" s="31"/>
      <c r="B4" s="571" t="s">
        <v>449</v>
      </c>
      <c r="C4" s="571"/>
      <c r="D4" s="571"/>
      <c r="E4" s="571"/>
    </row>
    <row r="5" spans="1:7" s="33" customFormat="1" ht="19.899999999999999" customHeight="1">
      <c r="A5" s="31"/>
      <c r="B5" s="571" t="s">
        <v>384</v>
      </c>
      <c r="C5" s="571"/>
      <c r="D5" s="571"/>
      <c r="E5" s="571"/>
    </row>
    <row r="6" spans="1:7" s="33" customFormat="1" ht="19.899999999999999" customHeight="1">
      <c r="A6" s="31"/>
      <c r="B6" s="571" t="s">
        <v>450</v>
      </c>
      <c r="C6" s="571"/>
      <c r="D6" s="571"/>
      <c r="E6" s="571"/>
    </row>
    <row r="7" spans="1:7" s="38" customFormat="1" ht="14.1">
      <c r="A7" s="37"/>
      <c r="B7" s="205"/>
      <c r="C7" s="206"/>
      <c r="D7" s="205"/>
      <c r="E7" s="205"/>
    </row>
    <row r="8" spans="1:7" ht="12.95">
      <c r="A8" s="28"/>
      <c r="B8" s="207"/>
      <c r="C8" s="208"/>
      <c r="D8" s="202" t="s">
        <v>451</v>
      </c>
      <c r="E8" s="202"/>
    </row>
    <row r="9" spans="1:7" ht="40.15" customHeight="1">
      <c r="A9" s="28"/>
      <c r="B9" s="207"/>
      <c r="C9" s="146" t="s">
        <v>387</v>
      </c>
      <c r="D9" s="146" t="s">
        <v>388</v>
      </c>
      <c r="E9" s="202"/>
      <c r="G9" s="159"/>
    </row>
    <row r="10" spans="1:7" ht="49.5" customHeight="1">
      <c r="A10" s="29">
        <v>1</v>
      </c>
      <c r="B10" s="207"/>
      <c r="C10" s="209" t="s">
        <v>389</v>
      </c>
      <c r="D10" s="160">
        <f>VLOOKUP(A10,BUMCT_AUT_PEDS,9,FALSE)</f>
        <v>6509</v>
      </c>
      <c r="E10" s="202"/>
    </row>
    <row r="11" spans="1:7" ht="35.1" customHeight="1">
      <c r="A11" s="29">
        <v>2</v>
      </c>
      <c r="B11" s="207"/>
      <c r="C11" s="210" t="s">
        <v>390</v>
      </c>
      <c r="D11" s="160">
        <f>VLOOKUP(A11,BUMCT_AUT_PEDS,9,FALSE)</f>
        <v>17147</v>
      </c>
      <c r="E11" s="211"/>
    </row>
    <row r="12" spans="1:7" ht="35.1" customHeight="1">
      <c r="A12" s="29">
        <v>3</v>
      </c>
      <c r="B12" s="207"/>
      <c r="C12" s="210" t="s">
        <v>391</v>
      </c>
      <c r="D12" s="160">
        <f>VLOOKUP(A12,BUMCT_AUT_PEDS,9,FALSE)</f>
        <v>63845</v>
      </c>
      <c r="E12" s="211"/>
    </row>
    <row r="13" spans="1:7" ht="35.1" customHeight="1">
      <c r="A13" s="29">
        <v>4</v>
      </c>
      <c r="B13" s="207"/>
      <c r="C13" s="212" t="s">
        <v>392</v>
      </c>
      <c r="D13" s="160">
        <f>VLOOKUP(A13,BUMCT_AUT_PEDS,9,FALSE)</f>
        <v>86558</v>
      </c>
      <c r="E13" s="211"/>
    </row>
    <row r="14" spans="1:7" ht="35.1" customHeight="1">
      <c r="A14" s="29">
        <v>5</v>
      </c>
      <c r="B14" s="207"/>
      <c r="C14" s="212" t="s">
        <v>393</v>
      </c>
      <c r="D14" s="160">
        <f>VLOOKUP(A14,BUMCT_AUT_PEDS,9,FALSE)</f>
        <v>12295</v>
      </c>
      <c r="E14" s="211"/>
    </row>
    <row r="15" spans="1:7" ht="41.1" customHeight="1">
      <c r="A15" s="47"/>
      <c r="B15" s="207"/>
      <c r="C15" s="213" t="s">
        <v>394</v>
      </c>
      <c r="D15" s="214">
        <f>SUM(D10:D14)</f>
        <v>186354</v>
      </c>
      <c r="E15" s="207"/>
    </row>
    <row r="16" spans="1:7">
      <c r="A16" s="28"/>
      <c r="B16" s="207"/>
      <c r="C16" s="207"/>
      <c r="D16" s="215"/>
      <c r="E16" s="207"/>
    </row>
    <row r="17" spans="1:9" s="39" customFormat="1" ht="42.6" customHeight="1">
      <c r="A17" s="29">
        <v>6</v>
      </c>
      <c r="B17" s="207"/>
      <c r="C17" s="216" t="s">
        <v>395</v>
      </c>
      <c r="D17" s="158">
        <f>VLOOKUP(A17,BUMCT_AUT_PEDS,9,FALSE)</f>
        <v>2554</v>
      </c>
      <c r="E17" s="203"/>
      <c r="F17" s="30"/>
      <c r="G17" s="30"/>
    </row>
    <row r="18" spans="1:9" s="39" customFormat="1" ht="51.6" customHeight="1">
      <c r="A18" s="29">
        <v>7</v>
      </c>
      <c r="B18" s="207"/>
      <c r="C18" s="52" t="s">
        <v>396</v>
      </c>
      <c r="D18" s="217">
        <f>VLOOKUP(A18,BUMCT_AUT_PEDS,9,FALSE)</f>
        <v>8014.1928120000002</v>
      </c>
      <c r="E18" s="45"/>
      <c r="F18" s="45"/>
      <c r="G18" s="147"/>
    </row>
    <row r="19" spans="1:9" s="39" customFormat="1">
      <c r="A19" s="47"/>
      <c r="B19" s="207"/>
      <c r="C19" s="207"/>
      <c r="D19" s="207"/>
      <c r="E19" s="207"/>
    </row>
    <row r="20" spans="1:9" ht="11.45" customHeight="1">
      <c r="A20" s="28"/>
      <c r="B20" s="207"/>
      <c r="C20" s="218"/>
      <c r="D20" s="207"/>
      <c r="E20" s="207"/>
    </row>
    <row r="21" spans="1:9" ht="57.75" customHeight="1">
      <c r="A21" s="28"/>
      <c r="B21" s="207"/>
      <c r="C21" s="581" t="s">
        <v>417</v>
      </c>
      <c r="D21" s="582"/>
      <c r="E21" s="583"/>
    </row>
    <row r="22" spans="1:9" ht="11.45" customHeight="1">
      <c r="A22" s="28"/>
      <c r="B22" s="207"/>
      <c r="C22" s="218"/>
      <c r="D22" s="207"/>
      <c r="E22" s="207"/>
    </row>
    <row r="23" spans="1:9" ht="33.6" customHeight="1">
      <c r="A23" s="28"/>
      <c r="B23" s="207"/>
      <c r="C23" s="581" t="s">
        <v>452</v>
      </c>
      <c r="D23" s="582"/>
      <c r="E23" s="583"/>
    </row>
    <row r="24" spans="1:9" ht="26.45" customHeight="1">
      <c r="A24" s="28"/>
      <c r="B24" s="207"/>
      <c r="C24" s="218"/>
      <c r="D24" s="207"/>
      <c r="E24" s="207"/>
    </row>
    <row r="25" spans="1:9" s="39" customFormat="1" ht="36.75" customHeight="1">
      <c r="A25" s="47"/>
      <c r="B25" s="207"/>
      <c r="C25" s="567" t="s">
        <v>398</v>
      </c>
      <c r="D25" s="568"/>
      <c r="E25" s="568"/>
      <c r="F25" s="568"/>
      <c r="G25" s="569"/>
      <c r="H25" s="48"/>
      <c r="I25" s="48"/>
    </row>
    <row r="26" spans="1:9">
      <c r="A26" s="28"/>
      <c r="B26" s="207"/>
      <c r="C26" s="207"/>
      <c r="D26" s="207"/>
      <c r="E26" s="207"/>
    </row>
    <row r="27" spans="1:9">
      <c r="A27" s="28"/>
      <c r="B27" s="207"/>
      <c r="C27" s="207"/>
      <c r="D27" s="207"/>
      <c r="E27" s="207"/>
    </row>
    <row r="28" spans="1:9">
      <c r="A28" s="28"/>
    </row>
    <row r="29" spans="1:9">
      <c r="A29" s="28"/>
    </row>
    <row r="30" spans="1:9">
      <c r="A30" s="28"/>
    </row>
    <row r="31" spans="1:9">
      <c r="A31" s="28"/>
    </row>
    <row r="32" spans="1:9">
      <c r="A32" s="28"/>
    </row>
    <row r="33" spans="1:1">
      <c r="A33" s="28"/>
    </row>
    <row r="34" spans="1:1">
      <c r="A34" s="28"/>
    </row>
    <row r="35" spans="1:1">
      <c r="A35" s="28"/>
    </row>
  </sheetData>
  <sheetProtection algorithmName="SHA-512" hashValue="yj76wk2G9bamwNQ710Djm6d9Msu2X3jmlZ3WZbYWe1zEbw+N0GrQ5mNoFiZAstozuzlxYLVHt5CChC5wl6VM3Q==" saltValue="/hMbDzS5CC2eaFiQryUNdQ==" spinCount="100000" sheet="1" objects="1" scenarios="1"/>
  <mergeCells count="7">
    <mergeCell ref="C25:G25"/>
    <mergeCell ref="C23:E23"/>
    <mergeCell ref="C21:E21"/>
    <mergeCell ref="C3:E3"/>
    <mergeCell ref="B4:E4"/>
    <mergeCell ref="B5:E5"/>
    <mergeCell ref="B6:E6"/>
  </mergeCells>
  <printOptions horizontalCentered="1"/>
  <pageMargins left="0.25" right="0.25" top="0.25" bottom="0.25" header="0.25" footer="0.25"/>
  <pageSetup scale="7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FF00"/>
    <pageSetUpPr fitToPage="1"/>
  </sheetPr>
  <dimension ref="A1:L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7.375" style="207" customWidth="1"/>
    <col min="5" max="5" width="18.625" style="207" customWidth="1"/>
    <col min="6" max="6" width="28.625" style="39" customWidth="1"/>
    <col min="7" max="7" width="13.875" style="39" customWidth="1"/>
    <col min="8" max="8" width="9" style="39" customWidth="1"/>
    <col min="9" max="16384" width="9" style="39"/>
  </cols>
  <sheetData>
    <row r="1" spans="1:10" s="483" customFormat="1" ht="20.100000000000001" hidden="1" customHeight="1">
      <c r="A1" s="481" t="e" cm="1">
        <f t="array" aca="1" ref="A1" ca="1">MID(CELL("filename",A1),FIND("]",CELL("filename",A1))+1,255)</f>
        <v>#VALUE!</v>
      </c>
      <c r="B1" s="482"/>
      <c r="C1" s="29">
        <v>3</v>
      </c>
      <c r="D1" s="29">
        <v>4</v>
      </c>
    </row>
    <row r="2" spans="1:10">
      <c r="A2" s="47"/>
    </row>
    <row r="3" spans="1:10" s="33" customFormat="1" ht="19.899999999999999" customHeight="1">
      <c r="A3" s="31"/>
      <c r="B3" s="571" t="s">
        <v>448</v>
      </c>
      <c r="C3" s="571"/>
      <c r="D3" s="571"/>
      <c r="E3" s="571"/>
      <c r="F3" s="83"/>
      <c r="G3" s="83"/>
      <c r="H3" s="83"/>
    </row>
    <row r="4" spans="1:10" s="33" customFormat="1" ht="19.899999999999999" customHeight="1">
      <c r="A4" s="31"/>
      <c r="B4" s="571" t="s">
        <v>453</v>
      </c>
      <c r="C4" s="571"/>
      <c r="D4" s="571"/>
      <c r="E4" s="571"/>
      <c r="F4" s="83"/>
      <c r="G4" s="83"/>
      <c r="H4" s="83"/>
    </row>
    <row r="5" spans="1:10" s="33" customFormat="1" ht="19.899999999999999" customHeight="1">
      <c r="A5" s="31"/>
      <c r="B5" s="571" t="s">
        <v>384</v>
      </c>
      <c r="C5" s="571"/>
      <c r="D5" s="571"/>
      <c r="E5" s="571"/>
      <c r="F5" s="85"/>
      <c r="G5" s="85"/>
    </row>
    <row r="6" spans="1:10" s="33" customFormat="1" ht="19.899999999999999" customHeight="1">
      <c r="A6" s="31"/>
      <c r="B6" s="571" t="s">
        <v>450</v>
      </c>
      <c r="C6" s="571"/>
      <c r="D6" s="571"/>
      <c r="E6" s="571"/>
      <c r="F6" s="83"/>
      <c r="G6" s="83"/>
    </row>
    <row r="7" spans="1:10" s="33" customFormat="1" ht="12.75" customHeight="1">
      <c r="A7" s="31"/>
      <c r="B7" s="204"/>
      <c r="C7" s="204"/>
      <c r="D7" s="204"/>
      <c r="E7" s="204"/>
      <c r="F7" s="32"/>
      <c r="G7" s="32"/>
    </row>
    <row r="8" spans="1:10" ht="15.75" customHeight="1">
      <c r="A8" s="47"/>
      <c r="D8" s="202" t="s">
        <v>451</v>
      </c>
      <c r="E8" s="208"/>
    </row>
    <row r="9" spans="1:10" ht="35.1" customHeight="1">
      <c r="A9" s="47"/>
      <c r="C9" s="146" t="s">
        <v>387</v>
      </c>
      <c r="D9" s="146" t="s">
        <v>388</v>
      </c>
      <c r="E9" s="202"/>
      <c r="F9" s="41"/>
      <c r="G9" s="161"/>
    </row>
    <row r="10" spans="1:10" ht="60.75" customHeight="1">
      <c r="A10" s="29">
        <v>1</v>
      </c>
      <c r="C10" s="209" t="s">
        <v>389</v>
      </c>
      <c r="D10" s="162">
        <f t="shared" ref="D10:D15" si="0">VLOOKUP(A10,BUMCT_ALLO_RELA_PEDS,9,FALSE)</f>
        <v>6554</v>
      </c>
      <c r="E10" s="202"/>
      <c r="F10" s="41"/>
      <c r="G10" s="41"/>
    </row>
    <row r="11" spans="1:10" ht="35.1" customHeight="1">
      <c r="A11" s="29">
        <v>2</v>
      </c>
      <c r="C11" s="219" t="s">
        <v>454</v>
      </c>
      <c r="D11" s="162">
        <f t="shared" si="0"/>
        <v>5359</v>
      </c>
      <c r="E11" s="211"/>
      <c r="F11" s="587"/>
      <c r="G11" s="587"/>
      <c r="H11" s="587"/>
      <c r="I11" s="587"/>
      <c r="J11" s="587"/>
    </row>
    <row r="12" spans="1:10" ht="35.1" customHeight="1">
      <c r="A12" s="29">
        <v>3</v>
      </c>
      <c r="C12" s="209" t="s">
        <v>402</v>
      </c>
      <c r="D12" s="162">
        <f t="shared" si="0"/>
        <v>17682</v>
      </c>
      <c r="E12" s="211"/>
    </row>
    <row r="13" spans="1:10" ht="35.1" customHeight="1">
      <c r="A13" s="29">
        <v>4</v>
      </c>
      <c r="C13" s="210" t="s">
        <v>391</v>
      </c>
      <c r="D13" s="162">
        <f t="shared" si="0"/>
        <v>63855</v>
      </c>
      <c r="E13" s="211"/>
    </row>
    <row r="14" spans="1:10" ht="35.1" customHeight="1">
      <c r="A14" s="29">
        <v>5</v>
      </c>
      <c r="C14" s="212" t="s">
        <v>392</v>
      </c>
      <c r="D14" s="162">
        <f t="shared" si="0"/>
        <v>86574</v>
      </c>
      <c r="E14" s="211"/>
    </row>
    <row r="15" spans="1:10" ht="35.1" customHeight="1">
      <c r="A15" s="29">
        <v>6</v>
      </c>
      <c r="C15" s="212" t="s">
        <v>393</v>
      </c>
      <c r="D15" s="162">
        <f t="shared" si="0"/>
        <v>12302</v>
      </c>
      <c r="E15" s="211"/>
    </row>
    <row r="16" spans="1:10" ht="35.1" customHeight="1">
      <c r="A16" s="28"/>
      <c r="C16" s="221" t="s">
        <v>403</v>
      </c>
      <c r="D16" s="238">
        <f>SUM(D10:D15)</f>
        <v>192326</v>
      </c>
      <c r="E16" s="211"/>
    </row>
    <row r="17" spans="1:12">
      <c r="A17" s="47"/>
      <c r="D17" s="239"/>
    </row>
    <row r="18" spans="1:12" ht="42.6" customHeight="1">
      <c r="A18" s="29">
        <v>7</v>
      </c>
      <c r="C18" s="216" t="s">
        <v>395</v>
      </c>
      <c r="D18" s="162">
        <f>VLOOKUP(A18,BUMCT_ALLO_RELA_PEDS,9,FALSE)</f>
        <v>2554</v>
      </c>
      <c r="E18" s="203"/>
      <c r="F18" s="30"/>
      <c r="G18" s="30"/>
    </row>
    <row r="19" spans="1:12" ht="51.6" customHeight="1">
      <c r="A19" s="29">
        <v>8</v>
      </c>
      <c r="C19" s="52" t="s">
        <v>396</v>
      </c>
      <c r="D19" s="217">
        <f>VLOOKUP(A19,BUMCT_ALLO_RELA_PEDS,9,FALSE)</f>
        <v>8014.1928120000002</v>
      </c>
      <c r="E19" s="45"/>
      <c r="F19" s="45"/>
      <c r="G19" s="147"/>
    </row>
    <row r="20" spans="1:12" ht="17.45" customHeight="1">
      <c r="A20" s="47"/>
      <c r="D20" s="293"/>
    </row>
    <row r="21" spans="1:12" s="38" customFormat="1" ht="59.45" customHeight="1">
      <c r="A21" s="37"/>
      <c r="B21" s="205"/>
      <c r="C21" s="567" t="s">
        <v>455</v>
      </c>
      <c r="D21" s="568"/>
      <c r="E21" s="568"/>
      <c r="F21" s="568"/>
      <c r="G21" s="569"/>
      <c r="I21" s="588"/>
      <c r="J21" s="588"/>
      <c r="K21" s="588"/>
      <c r="L21" s="588"/>
    </row>
    <row r="22" spans="1:12" s="30" customFormat="1" ht="11.45" customHeight="1">
      <c r="A22" s="28"/>
      <c r="B22" s="207"/>
      <c r="C22" s="218"/>
      <c r="D22" s="207"/>
      <c r="E22" s="207"/>
    </row>
    <row r="23" spans="1:12" s="30" customFormat="1" ht="33" customHeight="1">
      <c r="A23" s="28"/>
      <c r="B23" s="207"/>
      <c r="C23" s="567" t="s">
        <v>452</v>
      </c>
      <c r="D23" s="568"/>
      <c r="E23" s="568"/>
      <c r="F23" s="568"/>
      <c r="G23" s="569"/>
    </row>
    <row r="24" spans="1:12">
      <c r="A24" s="47"/>
      <c r="D24" s="293"/>
    </row>
    <row r="25" spans="1:12" ht="36.75" customHeight="1">
      <c r="A25" s="47"/>
      <c r="C25" s="567" t="s">
        <v>398</v>
      </c>
      <c r="D25" s="568"/>
      <c r="E25" s="568"/>
      <c r="F25" s="568"/>
      <c r="G25" s="569"/>
      <c r="H25" s="48"/>
      <c r="I25" s="48"/>
    </row>
    <row r="26" spans="1:12" s="48" customFormat="1">
      <c r="A26" s="62"/>
      <c r="B26" s="207"/>
      <c r="C26" s="207"/>
      <c r="D26" s="293"/>
      <c r="E26" s="207"/>
      <c r="F26" s="39"/>
      <c r="G26" s="39"/>
    </row>
    <row r="27" spans="1:12">
      <c r="A27" s="47"/>
    </row>
    <row r="28" spans="1:12">
      <c r="A28" s="47"/>
    </row>
    <row r="29" spans="1:12" ht="13.5" customHeight="1">
      <c r="A29" s="47"/>
    </row>
    <row r="30" spans="1:12">
      <c r="A30" s="47"/>
    </row>
    <row r="31" spans="1:12" ht="12.95">
      <c r="A31" s="47"/>
      <c r="C31" s="208"/>
    </row>
    <row r="32" spans="1:12">
      <c r="A32" s="47"/>
      <c r="C32" s="218"/>
      <c r="D32" s="353"/>
      <c r="E32" s="353"/>
    </row>
    <row r="33" spans="1:1">
      <c r="A33" s="47"/>
    </row>
    <row r="34" spans="1:1">
      <c r="A34" s="47"/>
    </row>
    <row r="35" spans="1:1">
      <c r="A35" s="47"/>
    </row>
  </sheetData>
  <sheetProtection algorithmName="SHA-512" hashValue="n/oTGrfoxI8x8pTmKJ/ihVBlSSg4viJBK3+fCC4dSMynlzWb+8WxLCd2cF4AlNkJQDl4jqDUK/bET7j09UcSAw==" saltValue="b9CSpJV22AADUUBvJChbNA==" spinCount="100000" sheet="1" objects="1" scenarios="1"/>
  <mergeCells count="9">
    <mergeCell ref="B3:E3"/>
    <mergeCell ref="B4:E4"/>
    <mergeCell ref="B5:E5"/>
    <mergeCell ref="B6:E6"/>
    <mergeCell ref="C25:G25"/>
    <mergeCell ref="C23:G23"/>
    <mergeCell ref="F11:J11"/>
    <mergeCell ref="C21:G21"/>
    <mergeCell ref="I21:L21"/>
  </mergeCells>
  <printOptions horizontalCentered="1"/>
  <pageMargins left="0.25" right="0.25" top="0.25" bottom="0.25" header="0.25" footer="0.25"/>
  <pageSetup scale="5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6.625" style="207" customWidth="1"/>
    <col min="5" max="5" width="18.625" style="207" customWidth="1"/>
    <col min="6" max="6" width="18.625" style="39" customWidth="1"/>
    <col min="7" max="7" width="11.875"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448</v>
      </c>
      <c r="C3" s="570"/>
      <c r="D3" s="570"/>
      <c r="E3" s="570"/>
      <c r="F3" s="570"/>
    </row>
    <row r="4" spans="1:7" s="33" customFormat="1" ht="19.899999999999999" customHeight="1">
      <c r="A4" s="31"/>
      <c r="B4" s="570" t="s">
        <v>456</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450</v>
      </c>
      <c r="C6" s="570"/>
      <c r="D6" s="570"/>
      <c r="E6" s="570"/>
      <c r="F6" s="570"/>
    </row>
    <row r="7" spans="1:7" ht="12.95">
      <c r="A7" s="47"/>
      <c r="D7" s="202"/>
      <c r="E7" s="584"/>
      <c r="F7" s="584"/>
    </row>
    <row r="8" spans="1:7" ht="15.6" customHeight="1">
      <c r="A8" s="47"/>
      <c r="C8" s="208"/>
      <c r="D8" s="202" t="s">
        <v>451</v>
      </c>
      <c r="E8" s="584"/>
      <c r="F8" s="584"/>
    </row>
    <row r="9" spans="1:7" ht="35.1" customHeight="1">
      <c r="A9" s="47"/>
      <c r="C9" s="146" t="s">
        <v>387</v>
      </c>
      <c r="D9" s="468" t="s">
        <v>388</v>
      </c>
      <c r="E9" s="202"/>
      <c r="F9" s="41"/>
      <c r="G9" s="161"/>
    </row>
    <row r="10" spans="1:7" ht="57" customHeight="1">
      <c r="A10" s="29">
        <v>1</v>
      </c>
      <c r="C10" s="209" t="s">
        <v>389</v>
      </c>
      <c r="D10" s="163">
        <f t="shared" ref="D10:D15" si="0">VLOOKUP(A10,BUMCT_HAPLOID_PEDS,9,FALSE)</f>
        <v>6652</v>
      </c>
      <c r="E10" s="202"/>
      <c r="F10" s="41"/>
    </row>
    <row r="11" spans="1:7" ht="35.1" customHeight="1">
      <c r="A11" s="29">
        <v>2</v>
      </c>
      <c r="C11" s="209" t="s">
        <v>457</v>
      </c>
      <c r="D11" s="163">
        <f t="shared" si="0"/>
        <v>11744</v>
      </c>
      <c r="E11" s="211"/>
    </row>
    <row r="12" spans="1:7" ht="35.1" customHeight="1">
      <c r="A12" s="29">
        <v>3</v>
      </c>
      <c r="C12" s="209" t="s">
        <v>407</v>
      </c>
      <c r="D12" s="163">
        <f t="shared" si="0"/>
        <v>17682</v>
      </c>
      <c r="E12" s="211"/>
    </row>
    <row r="13" spans="1:7" ht="35.1" customHeight="1">
      <c r="A13" s="29">
        <v>4</v>
      </c>
      <c r="C13" s="210" t="s">
        <v>391</v>
      </c>
      <c r="D13" s="163">
        <f t="shared" si="0"/>
        <v>63963</v>
      </c>
      <c r="E13" s="211"/>
    </row>
    <row r="14" spans="1:7" ht="35.1" customHeight="1">
      <c r="A14" s="29">
        <v>5</v>
      </c>
      <c r="C14" s="212" t="s">
        <v>392</v>
      </c>
      <c r="D14" s="163">
        <f t="shared" si="0"/>
        <v>101033</v>
      </c>
      <c r="E14" s="211"/>
    </row>
    <row r="15" spans="1:7" ht="35.1" customHeight="1">
      <c r="A15" s="29">
        <v>6</v>
      </c>
      <c r="C15" s="212" t="s">
        <v>393</v>
      </c>
      <c r="D15" s="163">
        <f t="shared" si="0"/>
        <v>33411</v>
      </c>
      <c r="E15" s="211"/>
    </row>
    <row r="16" spans="1:7" ht="35.1" customHeight="1">
      <c r="A16" s="28"/>
      <c r="C16" s="221" t="s">
        <v>408</v>
      </c>
      <c r="D16" s="336">
        <f>SUM(D10:D15)</f>
        <v>234485</v>
      </c>
    </row>
    <row r="17" spans="1:8">
      <c r="A17" s="47"/>
      <c r="D17" s="337"/>
    </row>
    <row r="18" spans="1:8" ht="42.6" customHeight="1">
      <c r="A18" s="29">
        <v>7</v>
      </c>
      <c r="C18" s="216" t="s">
        <v>395</v>
      </c>
      <c r="D18" s="158">
        <f>VLOOKUP(A18,BUMCT_HAPLOID_PEDS,9,FALSE)</f>
        <v>2554</v>
      </c>
      <c r="E18" s="203"/>
      <c r="F18" s="30"/>
      <c r="G18" s="30"/>
    </row>
    <row r="19" spans="1:8" ht="51.6" customHeight="1">
      <c r="A19" s="29">
        <v>8</v>
      </c>
      <c r="C19" s="52" t="s">
        <v>396</v>
      </c>
      <c r="D19" s="217">
        <f>VLOOKUP(A19,BUMCT_HAPLOID_PEDS,9,FALSE)</f>
        <v>8014.1928120000002</v>
      </c>
      <c r="E19" s="45"/>
      <c r="F19" s="45"/>
      <c r="G19" s="147"/>
    </row>
    <row r="20" spans="1:8">
      <c r="A20" s="47"/>
      <c r="D20" s="293"/>
    </row>
    <row r="21" spans="1:8" ht="29.45" customHeight="1">
      <c r="A21" s="47"/>
      <c r="C21" s="218"/>
      <c r="D21" s="467" t="s">
        <v>409</v>
      </c>
    </row>
    <row r="22" spans="1:8" ht="69.95" customHeight="1">
      <c r="A22" s="29">
        <v>9</v>
      </c>
      <c r="C22" s="228" t="s">
        <v>410</v>
      </c>
      <c r="D22" s="470">
        <f>VLOOKUP(A22,BUMCT_HAPLOID_PEDS,9,FALSE)</f>
        <v>257547</v>
      </c>
    </row>
    <row r="23" spans="1:8" ht="44.1" customHeight="1">
      <c r="A23" s="29">
        <v>10</v>
      </c>
      <c r="C23" s="230" t="s">
        <v>411</v>
      </c>
      <c r="D23" s="396">
        <f>VLOOKUP(A23,BUMCT_HAPLOID_PEDS,9,FALSE)</f>
        <v>0.5</v>
      </c>
    </row>
    <row r="24" spans="1:8" ht="23.1" customHeight="1">
      <c r="A24" s="31"/>
      <c r="C24" s="352" t="s">
        <v>80</v>
      </c>
    </row>
    <row r="25" spans="1:8" s="38" customFormat="1" ht="54.75" customHeight="1">
      <c r="A25" s="37"/>
      <c r="B25" s="205"/>
      <c r="C25" s="567" t="s">
        <v>458</v>
      </c>
      <c r="D25" s="568"/>
      <c r="E25" s="568"/>
      <c r="F25" s="569"/>
    </row>
    <row r="26" spans="1:8">
      <c r="A26" s="47"/>
    </row>
    <row r="27" spans="1:8" s="30" customFormat="1" ht="34.5" customHeight="1">
      <c r="A27" s="28"/>
      <c r="B27" s="207"/>
      <c r="C27" s="567" t="s">
        <v>452</v>
      </c>
      <c r="D27" s="568"/>
      <c r="E27" s="568"/>
      <c r="F27" s="569"/>
    </row>
    <row r="28" spans="1:8">
      <c r="A28" s="47"/>
    </row>
    <row r="29" spans="1:8" ht="36.75" customHeight="1">
      <c r="A29" s="47"/>
      <c r="C29" s="567" t="s">
        <v>398</v>
      </c>
      <c r="D29" s="568"/>
      <c r="E29" s="568"/>
      <c r="F29" s="569"/>
      <c r="G29" s="48"/>
      <c r="H29" s="48"/>
    </row>
    <row r="30" spans="1:8">
      <c r="A30" s="47"/>
    </row>
    <row r="31" spans="1:8">
      <c r="A31" s="47"/>
    </row>
    <row r="32" spans="1:8">
      <c r="A32" s="47"/>
    </row>
    <row r="33" spans="1:1">
      <c r="A33" s="47"/>
    </row>
    <row r="34" spans="1:1">
      <c r="A34" s="47"/>
    </row>
    <row r="35" spans="1:1">
      <c r="A35" s="47"/>
    </row>
  </sheetData>
  <sheetProtection algorithmName="SHA-512" hashValue="jO9/fla4+DhtHDgUpmL6XTSoVvlXOdWDxseqe1Abdo6rHS0pgq6B++eJtlwMAWvLnlEWDgl1MmnB/lx1WijZkA==" saltValue="NKGMDv3YrtlFcVCFMaLqbg==" spinCount="100000" sheet="1" objects="1" scenarios="1"/>
  <mergeCells count="8">
    <mergeCell ref="C29:F29"/>
    <mergeCell ref="C27:F27"/>
    <mergeCell ref="B3:F3"/>
    <mergeCell ref="B4:F4"/>
    <mergeCell ref="B5:F5"/>
    <mergeCell ref="B6:F6"/>
    <mergeCell ref="E7:F8"/>
    <mergeCell ref="C25:F25"/>
  </mergeCells>
  <printOptions horizontalCentered="1"/>
  <pageMargins left="0.25" right="0.25" top="0.25" bottom="0.25" header="0.25" footer="0.25"/>
  <pageSetup scale="6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9.125" style="207" customWidth="1"/>
    <col min="4" max="4" width="33.5" style="207" customWidth="1"/>
    <col min="5" max="5" width="18.625" style="207" customWidth="1"/>
    <col min="6" max="6" width="24.25" style="39" customWidth="1"/>
    <col min="7" max="7" width="13.25"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1" t="s">
        <v>448</v>
      </c>
      <c r="C3" s="571"/>
      <c r="D3" s="571"/>
      <c r="E3" s="571"/>
      <c r="G3" s="83"/>
    </row>
    <row r="4" spans="1:7" s="33" customFormat="1" ht="19.899999999999999" customHeight="1">
      <c r="A4" s="31"/>
      <c r="B4" s="571" t="s">
        <v>459</v>
      </c>
      <c r="C4" s="571"/>
      <c r="D4" s="571"/>
      <c r="E4" s="571"/>
      <c r="G4" s="83"/>
    </row>
    <row r="5" spans="1:7" s="33" customFormat="1" ht="19.899999999999999" customHeight="1">
      <c r="A5" s="31"/>
      <c r="B5" s="571" t="s">
        <v>384</v>
      </c>
      <c r="C5" s="571"/>
      <c r="D5" s="571"/>
      <c r="E5" s="571"/>
    </row>
    <row r="6" spans="1:7" s="33" customFormat="1" ht="19.899999999999999" customHeight="1">
      <c r="A6" s="31"/>
      <c r="B6" s="571" t="s">
        <v>450</v>
      </c>
      <c r="C6" s="571"/>
      <c r="D6" s="571"/>
      <c r="E6" s="571"/>
    </row>
    <row r="7" spans="1:7" ht="12.95">
      <c r="A7" s="47"/>
      <c r="D7" s="202"/>
      <c r="E7" s="584"/>
      <c r="F7" s="584"/>
    </row>
    <row r="8" spans="1:7" ht="18" customHeight="1">
      <c r="A8" s="47"/>
      <c r="C8" s="208"/>
      <c r="D8" s="202" t="s">
        <v>451</v>
      </c>
      <c r="E8" s="584"/>
      <c r="F8" s="584"/>
    </row>
    <row r="9" spans="1:7" ht="24.95" customHeight="1">
      <c r="A9" s="47"/>
      <c r="C9" s="146" t="s">
        <v>387</v>
      </c>
      <c r="D9" s="146" t="s">
        <v>388</v>
      </c>
      <c r="E9" s="202"/>
      <c r="F9" s="41"/>
      <c r="G9" s="161"/>
    </row>
    <row r="10" spans="1:7" ht="51.75" customHeight="1">
      <c r="A10" s="29">
        <v>1</v>
      </c>
      <c r="C10" s="209" t="s">
        <v>389</v>
      </c>
      <c r="D10" s="158">
        <f t="shared" ref="D10:D15" si="0">VLOOKUP(A10,BUMCT_ALLO_UNRE_PEDS,9,FALSE)</f>
        <v>6797</v>
      </c>
      <c r="E10" s="202"/>
      <c r="F10" s="41"/>
    </row>
    <row r="11" spans="1:7" ht="35.1" customHeight="1">
      <c r="A11" s="29">
        <v>2</v>
      </c>
      <c r="C11" s="220" t="s">
        <v>414</v>
      </c>
      <c r="D11" s="158">
        <f t="shared" si="0"/>
        <v>12000</v>
      </c>
      <c r="E11" s="211"/>
    </row>
    <row r="12" spans="1:7" ht="35.1" customHeight="1">
      <c r="A12" s="29">
        <v>3</v>
      </c>
      <c r="C12" s="219" t="s">
        <v>407</v>
      </c>
      <c r="D12" s="158" t="str">
        <f t="shared" si="0"/>
        <v>NBMD or Cord blood Invoice Cost</v>
      </c>
      <c r="E12" s="211"/>
    </row>
    <row r="13" spans="1:7" ht="35.1" customHeight="1">
      <c r="A13" s="29">
        <v>4</v>
      </c>
      <c r="C13" s="220" t="s">
        <v>391</v>
      </c>
      <c r="D13" s="158">
        <f t="shared" si="0"/>
        <v>65369</v>
      </c>
      <c r="E13" s="211"/>
    </row>
    <row r="14" spans="1:7" ht="35.1" customHeight="1">
      <c r="A14" s="29">
        <v>5</v>
      </c>
      <c r="C14" s="212" t="s">
        <v>392</v>
      </c>
      <c r="D14" s="158">
        <f t="shared" si="0"/>
        <v>103256</v>
      </c>
      <c r="E14" s="211"/>
    </row>
    <row r="15" spans="1:7" ht="35.1" customHeight="1">
      <c r="A15" s="29">
        <v>6</v>
      </c>
      <c r="C15" s="212" t="s">
        <v>393</v>
      </c>
      <c r="D15" s="158">
        <f t="shared" si="0"/>
        <v>34146</v>
      </c>
      <c r="E15" s="211"/>
    </row>
    <row r="16" spans="1:7" ht="35.1" customHeight="1">
      <c r="A16" s="28"/>
      <c r="C16" s="221" t="s">
        <v>415</v>
      </c>
      <c r="D16" s="238">
        <f>SUM(D10:D15)</f>
        <v>221568</v>
      </c>
    </row>
    <row r="17" spans="1:8">
      <c r="A17" s="47"/>
      <c r="D17" s="224"/>
    </row>
    <row r="18" spans="1:8" ht="54.6" customHeight="1">
      <c r="A18" s="29">
        <v>7</v>
      </c>
      <c r="C18" s="216" t="s">
        <v>395</v>
      </c>
      <c r="D18" s="158">
        <f>VLOOKUP(A18,BUMCT_ALLO_UNRE_PEDS,9,FALSE)</f>
        <v>2554</v>
      </c>
      <c r="E18" s="203"/>
      <c r="F18" s="30"/>
      <c r="G18" s="30"/>
    </row>
    <row r="19" spans="1:8" ht="54.6" customHeight="1">
      <c r="A19" s="29">
        <v>8</v>
      </c>
      <c r="C19" s="52" t="s">
        <v>396</v>
      </c>
      <c r="D19" s="225">
        <f>VLOOKUP(A19,BUMCT_ALLO_UNRE_PEDS,9,FALSE)</f>
        <v>8014.1928120000002</v>
      </c>
      <c r="E19" s="45"/>
      <c r="F19" s="45"/>
      <c r="G19" s="147"/>
    </row>
    <row r="20" spans="1:8" ht="33" customHeight="1">
      <c r="A20" s="47"/>
      <c r="D20" s="215"/>
    </row>
    <row r="21" spans="1:8" ht="24" customHeight="1">
      <c r="A21" s="47"/>
      <c r="C21" s="218"/>
      <c r="D21" s="467" t="s">
        <v>409</v>
      </c>
    </row>
    <row r="22" spans="1:8" ht="59.1" customHeight="1">
      <c r="A22" s="29">
        <v>9</v>
      </c>
      <c r="C22" s="228" t="s">
        <v>416</v>
      </c>
      <c r="D22" s="158">
        <f>VLOOKUP(A22,BUMCT_ALLO_UNRE_PEDS,9,FALSE)</f>
        <v>282076</v>
      </c>
    </row>
    <row r="23" spans="1:8" ht="38.1" customHeight="1">
      <c r="A23" s="29">
        <v>10</v>
      </c>
      <c r="C23" s="230" t="s">
        <v>411</v>
      </c>
      <c r="D23" s="396">
        <f>VLOOKUP(A23,BUMCT_ALLO_UNRE_PEDS,9,FALSE)</f>
        <v>0.5</v>
      </c>
    </row>
    <row r="24" spans="1:8" ht="26.1" customHeight="1">
      <c r="A24" s="47"/>
    </row>
    <row r="25" spans="1:8" s="38" customFormat="1" ht="51.95" customHeight="1">
      <c r="A25" s="37"/>
      <c r="B25" s="205"/>
      <c r="C25" s="567" t="s">
        <v>397</v>
      </c>
      <c r="D25" s="568"/>
      <c r="E25" s="568"/>
      <c r="F25" s="569"/>
    </row>
    <row r="26" spans="1:8">
      <c r="A26" s="47"/>
    </row>
    <row r="27" spans="1:8" s="30" customFormat="1" ht="38.1" customHeight="1">
      <c r="A27" s="28"/>
      <c r="B27" s="207"/>
      <c r="C27" s="567" t="s">
        <v>452</v>
      </c>
      <c r="D27" s="568"/>
      <c r="E27" s="568"/>
      <c r="F27" s="569"/>
    </row>
    <row r="28" spans="1:8">
      <c r="A28" s="47"/>
    </row>
    <row r="29" spans="1:8" ht="36.75" customHeight="1">
      <c r="A29" s="47"/>
      <c r="C29" s="567" t="s">
        <v>398</v>
      </c>
      <c r="D29" s="568"/>
      <c r="E29" s="568"/>
      <c r="F29" s="569"/>
      <c r="G29" s="48"/>
      <c r="H29" s="48"/>
    </row>
    <row r="30" spans="1:8">
      <c r="A30" s="47"/>
    </row>
    <row r="31" spans="1:8">
      <c r="A31" s="47"/>
    </row>
    <row r="32" spans="1:8">
      <c r="A32" s="47"/>
    </row>
    <row r="33" spans="1:1">
      <c r="A33" s="47"/>
    </row>
    <row r="34" spans="1:1">
      <c r="A34" s="47"/>
    </row>
    <row r="35" spans="1:1">
      <c r="A35" s="47"/>
    </row>
  </sheetData>
  <sheetProtection algorithmName="SHA-512" hashValue="EcdI/077z2Eqyj5JyQ0/NzMZchvPh9Ku1H3NeEA4151bxs4xNJsSjHjfqXKXgG4K4q2QoQmRTF8ts3q01SOpqg==" saltValue="ZJHF+iWl1qyQYUEhN1/RFQ==" spinCount="100000" sheet="1" objects="1" scenarios="1"/>
  <mergeCells count="8">
    <mergeCell ref="B3:E3"/>
    <mergeCell ref="B4:E4"/>
    <mergeCell ref="B5:E5"/>
    <mergeCell ref="B6:E6"/>
    <mergeCell ref="C29:F29"/>
    <mergeCell ref="C27:F27"/>
    <mergeCell ref="E7:F8"/>
    <mergeCell ref="C25:F25"/>
  </mergeCells>
  <printOptions horizontalCentered="1"/>
  <pageMargins left="0.25" right="0.25" top="0.25" bottom="0.25" header="0.25" footer="0.25"/>
  <pageSetup scale="6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4.125" style="207" customWidth="1"/>
    <col min="5" max="5" width="18.625" style="207" customWidth="1"/>
    <col min="6" max="6" width="23.375" style="39" customWidth="1"/>
    <col min="7" max="7" width="10.875"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448</v>
      </c>
      <c r="C3" s="570"/>
      <c r="D3" s="570"/>
      <c r="E3" s="570"/>
      <c r="F3" s="570"/>
    </row>
    <row r="4" spans="1:7" s="33" customFormat="1" ht="19.899999999999999" customHeight="1">
      <c r="A4" s="31"/>
      <c r="B4" s="570" t="s">
        <v>383</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450</v>
      </c>
      <c r="C6" s="570"/>
      <c r="D6" s="570"/>
      <c r="E6" s="570"/>
      <c r="F6" s="570"/>
    </row>
    <row r="7" spans="1:7" s="38" customFormat="1" ht="18.75" customHeight="1">
      <c r="A7" s="37"/>
      <c r="B7" s="205"/>
      <c r="C7" s="206"/>
      <c r="D7" s="205"/>
      <c r="E7" s="205"/>
    </row>
    <row r="8" spans="1:7" ht="18" customHeight="1">
      <c r="A8" s="47"/>
      <c r="C8" s="208"/>
      <c r="D8" s="202" t="s">
        <v>386</v>
      </c>
      <c r="E8" s="202"/>
      <c r="F8" s="41"/>
    </row>
    <row r="9" spans="1:7" ht="35.1" customHeight="1">
      <c r="A9" s="47"/>
      <c r="C9" s="146" t="s">
        <v>387</v>
      </c>
      <c r="D9" s="146" t="s">
        <v>388</v>
      </c>
      <c r="E9" s="202"/>
      <c r="F9" s="41"/>
      <c r="G9" s="161"/>
    </row>
    <row r="10" spans="1:7" ht="59.1" customHeight="1">
      <c r="A10" s="29">
        <v>1</v>
      </c>
      <c r="C10" s="209" t="s">
        <v>389</v>
      </c>
      <c r="D10" s="158">
        <f>VLOOKUP(A10,BUMCT_BMT_AUTO_ADULT,9,FALSE)</f>
        <v>6509</v>
      </c>
      <c r="E10" s="202"/>
      <c r="F10" s="41" t="s">
        <v>460</v>
      </c>
    </row>
    <row r="11" spans="1:7" ht="35.1" customHeight="1">
      <c r="A11" s="29">
        <v>2</v>
      </c>
      <c r="C11" s="210" t="s">
        <v>390</v>
      </c>
      <c r="D11" s="158">
        <f>VLOOKUP(A11,BUMCT_BMT_AUTO_ADULT,9,FALSE)</f>
        <v>17147</v>
      </c>
      <c r="E11" s="211"/>
    </row>
    <row r="12" spans="1:7" ht="35.1" customHeight="1">
      <c r="A12" s="29">
        <v>3</v>
      </c>
      <c r="C12" s="210" t="s">
        <v>391</v>
      </c>
      <c r="D12" s="158">
        <f>VLOOKUP(A12,BUMCT_BMT_AUTO_ADULT,9,FALSE)</f>
        <v>63845</v>
      </c>
      <c r="E12" s="211"/>
    </row>
    <row r="13" spans="1:7" ht="35.1" customHeight="1">
      <c r="A13" s="29">
        <v>4</v>
      </c>
      <c r="C13" s="212" t="s">
        <v>392</v>
      </c>
      <c r="D13" s="158">
        <f>VLOOKUP(A13,BUMCT_BMT_AUTO_ADULT,9,FALSE)</f>
        <v>86558</v>
      </c>
      <c r="E13" s="211"/>
    </row>
    <row r="14" spans="1:7" ht="35.1" customHeight="1">
      <c r="A14" s="29">
        <v>5</v>
      </c>
      <c r="C14" s="212" t="s">
        <v>393</v>
      </c>
      <c r="D14" s="158">
        <f>VLOOKUP(A14,BUMCT_BMT_AUTO_ADULT,9,FALSE)</f>
        <v>12295</v>
      </c>
      <c r="E14" s="211"/>
    </row>
    <row r="15" spans="1:7" ht="35.1" customHeight="1">
      <c r="A15" s="47"/>
      <c r="C15" s="221" t="s">
        <v>461</v>
      </c>
      <c r="D15" s="238">
        <f>SUM(D10:D14)</f>
        <v>186354</v>
      </c>
    </row>
    <row r="16" spans="1:7" ht="21" customHeight="1">
      <c r="A16" s="28"/>
      <c r="C16" s="218"/>
      <c r="D16" s="239"/>
    </row>
    <row r="17" spans="1:8" ht="47.1" customHeight="1">
      <c r="A17" s="29">
        <v>6</v>
      </c>
      <c r="C17" s="216" t="s">
        <v>395</v>
      </c>
      <c r="D17" s="158">
        <f>VLOOKUP(A17,BUMCT_BMT_AUTO_ADULT,9,FALSE)</f>
        <v>2554</v>
      </c>
      <c r="E17" s="203"/>
      <c r="F17" s="30"/>
      <c r="G17" s="30"/>
    </row>
    <row r="18" spans="1:8" ht="48.6" customHeight="1">
      <c r="A18" s="29">
        <v>7</v>
      </c>
      <c r="C18" s="52" t="s">
        <v>396</v>
      </c>
      <c r="D18" s="225">
        <f>VLOOKUP(A18,BUMCT_BMT_AUTO_ADULT,9,FALSE)</f>
        <v>8014.1928120000002</v>
      </c>
      <c r="E18" s="45"/>
      <c r="F18" s="45"/>
      <c r="G18" s="147"/>
    </row>
    <row r="19" spans="1:8" ht="40.5" customHeight="1">
      <c r="A19" s="29"/>
      <c r="D19" s="293"/>
    </row>
    <row r="20" spans="1:8" ht="56.1" customHeight="1">
      <c r="A20" s="47"/>
      <c r="C20" s="567" t="s">
        <v>417</v>
      </c>
      <c r="D20" s="568"/>
      <c r="E20" s="568"/>
      <c r="F20" s="569"/>
    </row>
    <row r="21" spans="1:8">
      <c r="A21" s="47"/>
      <c r="D21" s="293"/>
    </row>
    <row r="22" spans="1:8" ht="36.75" customHeight="1">
      <c r="A22" s="47"/>
      <c r="C22" s="567" t="s">
        <v>398</v>
      </c>
      <c r="D22" s="568"/>
      <c r="E22" s="568"/>
      <c r="F22" s="569"/>
      <c r="G22" s="48"/>
      <c r="H22" s="48"/>
    </row>
    <row r="23" spans="1:8">
      <c r="A23" s="47"/>
      <c r="D23" s="293"/>
    </row>
    <row r="24" spans="1:8">
      <c r="A24" s="47"/>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U12di1WhbrE8HEzwPgz4lI9lwLknJq5K31G6GK4ViQ5f7JAEWgnzk7yJ7db2HQvBws+WSOaGXAWeLXapW3+C+w==" saltValue="7wENpgmM9+8NyEt1IsB9Zw==" spinCount="100000" sheet="1" objects="1" scenarios="1"/>
  <mergeCells count="6">
    <mergeCell ref="C22:F22"/>
    <mergeCell ref="C20:F20"/>
    <mergeCell ref="B3:F3"/>
    <mergeCell ref="B4:F4"/>
    <mergeCell ref="B5:F5"/>
    <mergeCell ref="B6:F6"/>
  </mergeCells>
  <printOptions horizontalCentered="1"/>
  <pageMargins left="0.25" right="0.25" top="0.25" bottom="0.25" header="0.25" footer="0.25"/>
  <pageSetup scale="7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7.375" style="207" customWidth="1"/>
    <col min="5" max="5" width="18.625" style="207" customWidth="1"/>
    <col min="6" max="6" width="20.375" style="39" customWidth="1"/>
    <col min="7" max="7" width="11.25"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448</v>
      </c>
      <c r="C3" s="570"/>
      <c r="D3" s="570"/>
      <c r="E3" s="570"/>
      <c r="F3" s="570"/>
    </row>
    <row r="4" spans="1:7" s="33" customFormat="1" ht="19.899999999999999" customHeight="1">
      <c r="A4" s="31"/>
      <c r="B4" s="570" t="s">
        <v>400</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450</v>
      </c>
      <c r="C6" s="570"/>
      <c r="D6" s="570"/>
      <c r="E6" s="570"/>
      <c r="F6" s="570"/>
    </row>
    <row r="7" spans="1:7" s="33" customFormat="1" ht="12.75" customHeight="1">
      <c r="A7" s="31"/>
      <c r="B7" s="204"/>
      <c r="C7" s="204"/>
      <c r="D7" s="204"/>
      <c r="E7" s="204"/>
      <c r="F7" s="32"/>
    </row>
    <row r="8" spans="1:7" ht="15.75" customHeight="1">
      <c r="A8" s="47"/>
      <c r="D8" s="202" t="s">
        <v>386</v>
      </c>
      <c r="E8" s="208"/>
    </row>
    <row r="9" spans="1:7" ht="35.1" customHeight="1">
      <c r="A9" s="47"/>
      <c r="C9" s="146" t="s">
        <v>387</v>
      </c>
      <c r="D9" s="146" t="s">
        <v>388</v>
      </c>
      <c r="E9" s="202"/>
      <c r="F9" s="41"/>
      <c r="G9" s="161"/>
    </row>
    <row r="10" spans="1:7" ht="56.25" customHeight="1">
      <c r="A10" s="29">
        <v>1</v>
      </c>
      <c r="C10" s="209" t="s">
        <v>389</v>
      </c>
      <c r="D10" s="158">
        <f t="shared" ref="D10:D15" si="0">VLOOKUP(A10,BUMCT_BMT_ALLO_REL_ADULT,9,FALSE)</f>
        <v>6554</v>
      </c>
      <c r="E10" s="202"/>
      <c r="F10" s="41"/>
    </row>
    <row r="11" spans="1:7" ht="35.1" customHeight="1">
      <c r="A11" s="29">
        <v>2</v>
      </c>
      <c r="C11" s="219" t="s">
        <v>454</v>
      </c>
      <c r="D11" s="158">
        <f t="shared" si="0"/>
        <v>5359</v>
      </c>
      <c r="E11" s="211"/>
    </row>
    <row r="12" spans="1:7" ht="35.1" customHeight="1">
      <c r="A12" s="29">
        <v>3</v>
      </c>
      <c r="C12" s="209" t="s">
        <v>402</v>
      </c>
      <c r="D12" s="158">
        <f t="shared" si="0"/>
        <v>17682</v>
      </c>
      <c r="E12" s="211"/>
    </row>
    <row r="13" spans="1:7" ht="35.1" customHeight="1">
      <c r="A13" s="29">
        <v>4</v>
      </c>
      <c r="C13" s="210" t="s">
        <v>391</v>
      </c>
      <c r="D13" s="158">
        <f t="shared" si="0"/>
        <v>63855</v>
      </c>
      <c r="E13" s="211"/>
    </row>
    <row r="14" spans="1:7" ht="35.1" customHeight="1">
      <c r="A14" s="29">
        <v>5</v>
      </c>
      <c r="C14" s="212" t="s">
        <v>392</v>
      </c>
      <c r="D14" s="158">
        <f t="shared" si="0"/>
        <v>86574</v>
      </c>
      <c r="E14" s="211"/>
    </row>
    <row r="15" spans="1:7" ht="35.1" customHeight="1">
      <c r="A15" s="29">
        <v>6</v>
      </c>
      <c r="C15" s="212" t="s">
        <v>393</v>
      </c>
      <c r="D15" s="158">
        <f t="shared" si="0"/>
        <v>12302</v>
      </c>
      <c r="E15" s="211"/>
    </row>
    <row r="16" spans="1:7" ht="35.1" customHeight="1">
      <c r="A16" s="28"/>
      <c r="C16" s="221" t="s">
        <v>403</v>
      </c>
      <c r="D16" s="238">
        <f>SUM(D10:D15)</f>
        <v>192326</v>
      </c>
      <c r="E16" s="211"/>
    </row>
    <row r="17" spans="1:8">
      <c r="A17" s="47"/>
      <c r="D17" s="239"/>
    </row>
    <row r="18" spans="1:8" ht="51" customHeight="1">
      <c r="A18" s="29">
        <v>7</v>
      </c>
      <c r="C18" s="216" t="s">
        <v>395</v>
      </c>
      <c r="D18" s="158">
        <f>VLOOKUP(A18,BUMCT_BMT_ALLO_REL_ADULT,9,FALSE)</f>
        <v>2554</v>
      </c>
      <c r="E18" s="203"/>
      <c r="F18" s="30"/>
      <c r="G18" s="30"/>
    </row>
    <row r="19" spans="1:8" ht="57.6" customHeight="1">
      <c r="A19" s="29">
        <v>8</v>
      </c>
      <c r="C19" s="52" t="s">
        <v>396</v>
      </c>
      <c r="D19" s="225">
        <f>VLOOKUP(A19,BUMCT_BMT_ALLO_REL_ADULT,9,FALSE)</f>
        <v>8014.1928120000002</v>
      </c>
      <c r="E19" s="45"/>
      <c r="F19" s="45"/>
      <c r="G19" s="147"/>
    </row>
    <row r="20" spans="1:8" ht="36.6" customHeight="1">
      <c r="A20" s="47"/>
      <c r="D20" s="293"/>
    </row>
    <row r="21" spans="1:8" s="38" customFormat="1" ht="60.75" customHeight="1">
      <c r="A21" s="37"/>
      <c r="B21" s="205"/>
      <c r="C21" s="567" t="s">
        <v>458</v>
      </c>
      <c r="D21" s="568"/>
      <c r="E21" s="568"/>
      <c r="F21" s="569"/>
    </row>
    <row r="22" spans="1:8">
      <c r="A22" s="47"/>
    </row>
    <row r="23" spans="1:8">
      <c r="A23" s="47"/>
    </row>
    <row r="24" spans="1:8" ht="36.75" customHeight="1">
      <c r="A24" s="47"/>
      <c r="C24" s="567" t="s">
        <v>398</v>
      </c>
      <c r="D24" s="568"/>
      <c r="E24" s="568"/>
      <c r="F24" s="569"/>
      <c r="G24" s="48"/>
      <c r="H24" s="48"/>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9/tuFA8KdgXLiYGbTuzVmjOQDVcOyPzBrGDavAtoHVGjoaShScTckqoyIWqCBaJ/1mwF2gGk/U/I49T1VR2hMw==" saltValue="DrdHZ86UwBRCfE9cGATfJw==" spinCount="100000" sheet="1" objects="1" scenarios="1"/>
  <mergeCells count="6">
    <mergeCell ref="C24:F24"/>
    <mergeCell ref="C21:F21"/>
    <mergeCell ref="B3:F3"/>
    <mergeCell ref="B4:F4"/>
    <mergeCell ref="B5:F5"/>
    <mergeCell ref="B6:F6"/>
  </mergeCells>
  <printOptions horizontalCentered="1"/>
  <pageMargins left="0.25" right="0.25" top="0.25" bottom="0.25" header="0.25" footer="0.25"/>
  <pageSetup scale="7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25" style="207" customWidth="1"/>
    <col min="4" max="4" width="26.625" style="207" customWidth="1"/>
    <col min="5" max="5" width="18.625" style="207" customWidth="1"/>
    <col min="6" max="6" width="27.75" style="39" customWidth="1"/>
    <col min="7" max="7" width="9"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448</v>
      </c>
      <c r="C3" s="570"/>
      <c r="D3" s="570"/>
      <c r="E3" s="570"/>
      <c r="F3" s="570"/>
    </row>
    <row r="4" spans="1:7" s="33" customFormat="1" ht="19.899999999999999" customHeight="1">
      <c r="A4" s="31"/>
      <c r="B4" s="570" t="s">
        <v>405</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450</v>
      </c>
      <c r="C6" s="570"/>
      <c r="D6" s="570"/>
      <c r="E6" s="570"/>
      <c r="F6" s="570"/>
    </row>
    <row r="7" spans="1:7" ht="12.95">
      <c r="A7" s="47"/>
      <c r="D7" s="202"/>
      <c r="E7" s="584"/>
      <c r="F7" s="584"/>
    </row>
    <row r="8" spans="1:7" ht="15.6" customHeight="1">
      <c r="A8" s="47"/>
      <c r="C8" s="208"/>
      <c r="D8" s="202" t="s">
        <v>386</v>
      </c>
      <c r="E8" s="584"/>
      <c r="F8" s="584"/>
    </row>
    <row r="9" spans="1:7" ht="24.95" customHeight="1">
      <c r="A9" s="47"/>
      <c r="C9" s="146" t="s">
        <v>387</v>
      </c>
      <c r="D9" s="468" t="s">
        <v>388</v>
      </c>
      <c r="E9" s="202"/>
      <c r="F9" s="41"/>
      <c r="G9" s="161"/>
    </row>
    <row r="10" spans="1:7" ht="47.25" customHeight="1">
      <c r="A10" s="29">
        <v>1</v>
      </c>
      <c r="C10" s="209" t="s">
        <v>389</v>
      </c>
      <c r="D10" s="164">
        <f t="shared" ref="D10:D15" si="0">VLOOKUP(A10,BUMCT_BMT_HAPLOID_ADULT,9,FALSE)</f>
        <v>6652</v>
      </c>
      <c r="E10" s="202"/>
      <c r="F10" s="41"/>
    </row>
    <row r="11" spans="1:7" ht="35.1" customHeight="1">
      <c r="A11" s="29">
        <v>2</v>
      </c>
      <c r="C11" s="219" t="s">
        <v>462</v>
      </c>
      <c r="D11" s="164">
        <f t="shared" si="0"/>
        <v>11744</v>
      </c>
      <c r="E11" s="211"/>
    </row>
    <row r="12" spans="1:7" ht="35.1" customHeight="1">
      <c r="A12" s="29">
        <v>3</v>
      </c>
      <c r="C12" s="219" t="s">
        <v>407</v>
      </c>
      <c r="D12" s="164">
        <f t="shared" si="0"/>
        <v>17682</v>
      </c>
      <c r="E12" s="211"/>
    </row>
    <row r="13" spans="1:7" ht="35.1" customHeight="1">
      <c r="A13" s="29">
        <v>4</v>
      </c>
      <c r="C13" s="220" t="s">
        <v>391</v>
      </c>
      <c r="D13" s="164">
        <f t="shared" si="0"/>
        <v>63963</v>
      </c>
      <c r="E13" s="211"/>
    </row>
    <row r="14" spans="1:7" ht="34.5" customHeight="1">
      <c r="A14" s="29">
        <v>5</v>
      </c>
      <c r="C14" s="212" t="s">
        <v>392</v>
      </c>
      <c r="D14" s="164">
        <f t="shared" si="0"/>
        <v>101033</v>
      </c>
      <c r="E14" s="211"/>
    </row>
    <row r="15" spans="1:7" ht="35.1" customHeight="1">
      <c r="A15" s="29">
        <v>6</v>
      </c>
      <c r="C15" s="212" t="s">
        <v>393</v>
      </c>
      <c r="D15" s="164">
        <f t="shared" si="0"/>
        <v>33411</v>
      </c>
      <c r="E15" s="211"/>
    </row>
    <row r="16" spans="1:7" ht="35.1" customHeight="1">
      <c r="A16" s="28"/>
      <c r="C16" s="221" t="s">
        <v>408</v>
      </c>
      <c r="D16" s="336">
        <f>SUM(D10:D15)</f>
        <v>234485</v>
      </c>
    </row>
    <row r="17" spans="1:8">
      <c r="A17" s="47"/>
      <c r="D17" s="337"/>
    </row>
    <row r="18" spans="1:8" ht="47.1" customHeight="1">
      <c r="A18" s="29">
        <v>7</v>
      </c>
      <c r="C18" s="216" t="s">
        <v>395</v>
      </c>
      <c r="D18" s="182">
        <f>VLOOKUP(A18,BUMCT_BMT_HAPLOID_ADULT,9,FALSE)</f>
        <v>2554</v>
      </c>
      <c r="E18" s="203"/>
      <c r="F18" s="30"/>
      <c r="G18" s="30"/>
      <c r="H18" s="30"/>
    </row>
    <row r="19" spans="1:8" ht="54" customHeight="1">
      <c r="A19" s="29">
        <v>8</v>
      </c>
      <c r="C19" s="52" t="s">
        <v>396</v>
      </c>
      <c r="D19" s="225">
        <f>VLOOKUP(A19,BUMCT_BMT_HAPLOID_ADULT,9,FALSE)</f>
        <v>8014.1928120000002</v>
      </c>
      <c r="E19" s="203"/>
      <c r="F19" s="30"/>
      <c r="G19" s="30"/>
      <c r="H19" s="30"/>
    </row>
    <row r="20" spans="1:8" ht="20.100000000000001" customHeight="1">
      <c r="A20" s="47"/>
      <c r="D20" s="338"/>
    </row>
    <row r="21" spans="1:8" ht="22.5" customHeight="1">
      <c r="A21" s="47"/>
      <c r="C21" s="218"/>
      <c r="D21" s="467" t="s">
        <v>409</v>
      </c>
    </row>
    <row r="22" spans="1:8" ht="66" customHeight="1">
      <c r="A22" s="29">
        <v>9</v>
      </c>
      <c r="C22" s="228" t="s">
        <v>410</v>
      </c>
      <c r="D22" s="469">
        <f>VLOOKUP(A22,BUMCT_BMT_HAPLOID_ADULT,9,FALSE)</f>
        <v>257547</v>
      </c>
    </row>
    <row r="23" spans="1:8" ht="42" customHeight="1">
      <c r="A23" s="29">
        <v>10</v>
      </c>
      <c r="C23" s="230" t="s">
        <v>411</v>
      </c>
      <c r="D23" s="396">
        <f>VLOOKUP(A23,BUMCT_BMT_HAPLOID_ADULT,9,FALSE)</f>
        <v>0.5</v>
      </c>
    </row>
    <row r="24" spans="1:8">
      <c r="A24" s="47"/>
    </row>
    <row r="25" spans="1:8" ht="57.95" customHeight="1">
      <c r="A25" s="47"/>
      <c r="C25" s="567" t="s">
        <v>458</v>
      </c>
      <c r="D25" s="568"/>
      <c r="E25" s="568"/>
      <c r="F25" s="569"/>
    </row>
    <row r="26" spans="1:8">
      <c r="A26" s="47"/>
    </row>
    <row r="27" spans="1:8" ht="36.75" customHeight="1">
      <c r="A27" s="47"/>
      <c r="C27" s="567" t="s">
        <v>398</v>
      </c>
      <c r="D27" s="568"/>
      <c r="E27" s="568"/>
      <c r="F27" s="569"/>
      <c r="G27" s="48"/>
      <c r="H27" s="48"/>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6kYZX4hdYBsQRpCinvM06bl728kRoFy0lE67JM8Kl/Aq8PfxLNhL1HMorKxykHW8LZglqwemxQSKSSbErIuZtA==" saltValue="zH+m+xVBB1epjLsva30+vw==" spinCount="100000" sheet="1" objects="1" scenarios="1"/>
  <mergeCells count="7">
    <mergeCell ref="C27:F27"/>
    <mergeCell ref="C25:F25"/>
    <mergeCell ref="B3:F3"/>
    <mergeCell ref="B4:F4"/>
    <mergeCell ref="B5:F5"/>
    <mergeCell ref="B6:F6"/>
    <mergeCell ref="E7:F8"/>
  </mergeCells>
  <printOptions horizontalCentered="1"/>
  <pageMargins left="0.25" right="0.25" top="0.25" bottom="0.25" header="0.25" footer="0.25"/>
  <pageSetup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6">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5.125" style="207" customWidth="1"/>
    <col min="4" max="4" width="32.625" style="207" customWidth="1"/>
    <col min="5" max="5" width="18.625" style="207" customWidth="1"/>
    <col min="6" max="6" width="23.75" style="39" customWidth="1"/>
    <col min="7" max="7" width="11"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448</v>
      </c>
      <c r="C3" s="570"/>
      <c r="D3" s="570"/>
      <c r="E3" s="570"/>
      <c r="F3" s="570"/>
    </row>
    <row r="4" spans="1:7" s="33" customFormat="1" ht="19.899999999999999" customHeight="1">
      <c r="A4" s="31"/>
      <c r="B4" s="570" t="s">
        <v>412</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450</v>
      </c>
      <c r="C6" s="570"/>
      <c r="D6" s="570"/>
      <c r="E6" s="570"/>
      <c r="F6" s="570"/>
    </row>
    <row r="7" spans="1:7" ht="12.95">
      <c r="A7" s="47"/>
      <c r="D7" s="202"/>
      <c r="E7" s="584"/>
      <c r="F7" s="584"/>
    </row>
    <row r="8" spans="1:7" ht="18" customHeight="1">
      <c r="A8" s="47"/>
      <c r="C8" s="208"/>
      <c r="D8" s="202" t="s">
        <v>386</v>
      </c>
      <c r="E8" s="584"/>
      <c r="F8" s="584"/>
    </row>
    <row r="9" spans="1:7" ht="24.95" customHeight="1">
      <c r="A9" s="47"/>
      <c r="C9" s="146" t="s">
        <v>387</v>
      </c>
      <c r="D9" s="146" t="s">
        <v>388</v>
      </c>
      <c r="E9" s="202"/>
      <c r="F9" s="41"/>
      <c r="G9" s="161"/>
    </row>
    <row r="10" spans="1:7" ht="47.25" customHeight="1">
      <c r="A10" s="29">
        <v>1</v>
      </c>
      <c r="C10" s="209" t="s">
        <v>389</v>
      </c>
      <c r="D10" s="158">
        <f t="shared" ref="D10:D15" si="0">VLOOKUP(A10,BUMCT_BMT_ALLO_UNREL_ADULT,9,FALSE)</f>
        <v>6797</v>
      </c>
      <c r="E10" s="202"/>
      <c r="F10" s="41"/>
    </row>
    <row r="11" spans="1:7" ht="35.1" customHeight="1">
      <c r="A11" s="29">
        <v>2</v>
      </c>
      <c r="C11" s="220" t="s">
        <v>414</v>
      </c>
      <c r="D11" s="158">
        <f t="shared" si="0"/>
        <v>12000</v>
      </c>
      <c r="E11" s="211"/>
    </row>
    <row r="12" spans="1:7" ht="35.1" customHeight="1">
      <c r="A12" s="29">
        <v>3</v>
      </c>
      <c r="C12" s="219" t="s">
        <v>407</v>
      </c>
      <c r="D12" s="158" t="str">
        <f t="shared" si="0"/>
        <v>NBMD or Cord blood Invoice Cost</v>
      </c>
      <c r="E12" s="211"/>
    </row>
    <row r="13" spans="1:7" ht="35.1" customHeight="1">
      <c r="A13" s="29">
        <v>4</v>
      </c>
      <c r="C13" s="220" t="s">
        <v>391</v>
      </c>
      <c r="D13" s="158">
        <f t="shared" si="0"/>
        <v>65369</v>
      </c>
      <c r="E13" s="211"/>
    </row>
    <row r="14" spans="1:7" ht="35.1" customHeight="1">
      <c r="A14" s="29">
        <v>5</v>
      </c>
      <c r="C14" s="212" t="s">
        <v>392</v>
      </c>
      <c r="D14" s="158">
        <f t="shared" si="0"/>
        <v>103256</v>
      </c>
      <c r="E14" s="211"/>
    </row>
    <row r="15" spans="1:7" ht="35.1" customHeight="1">
      <c r="A15" s="29">
        <v>6</v>
      </c>
      <c r="C15" s="212" t="s">
        <v>393</v>
      </c>
      <c r="D15" s="158">
        <f t="shared" si="0"/>
        <v>34146</v>
      </c>
      <c r="E15" s="211"/>
    </row>
    <row r="16" spans="1:7" ht="35.1" customHeight="1">
      <c r="A16" s="28"/>
      <c r="C16" s="221" t="s">
        <v>415</v>
      </c>
      <c r="D16" s="238">
        <f>SUM(D10:D15)</f>
        <v>221568</v>
      </c>
    </row>
    <row r="17" spans="1:8">
      <c r="A17" s="47"/>
      <c r="D17" s="224"/>
    </row>
    <row r="18" spans="1:8" ht="47.1" customHeight="1">
      <c r="A18" s="29">
        <v>7</v>
      </c>
      <c r="C18" s="216" t="s">
        <v>395</v>
      </c>
      <c r="D18" s="182">
        <f>VLOOKUP(A18,BUMCT_BMT_ALLO_UNREL_ADULT,9,FALSE)</f>
        <v>2554</v>
      </c>
      <c r="E18" s="203"/>
      <c r="F18" s="30"/>
      <c r="G18" s="30"/>
      <c r="H18" s="30"/>
    </row>
    <row r="19" spans="1:8" ht="54" customHeight="1">
      <c r="A19" s="29">
        <v>8</v>
      </c>
      <c r="C19" s="52" t="s">
        <v>396</v>
      </c>
      <c r="D19" s="225">
        <f>VLOOKUP(A19,BUMCT_BMT_ALLO_UNREL_ADULT,9,FALSE)</f>
        <v>8014.1928120000002</v>
      </c>
      <c r="E19" s="203"/>
      <c r="F19" s="30"/>
      <c r="G19" s="30"/>
      <c r="H19" s="30"/>
    </row>
    <row r="20" spans="1:8" ht="20.100000000000001" customHeight="1">
      <c r="A20" s="47"/>
      <c r="D20" s="224"/>
    </row>
    <row r="21" spans="1:8" ht="24" customHeight="1">
      <c r="A21" s="47"/>
      <c r="C21" s="218"/>
      <c r="D21" s="467" t="s">
        <v>409</v>
      </c>
    </row>
    <row r="22" spans="1:8" ht="64.5" customHeight="1">
      <c r="A22" s="29">
        <v>9</v>
      </c>
      <c r="C22" s="228" t="s">
        <v>416</v>
      </c>
      <c r="D22" s="234">
        <f>VLOOKUP(A22,BUMCT_BMT_ALLO_UNREL_ADULT,9,FALSE)</f>
        <v>282076</v>
      </c>
    </row>
    <row r="23" spans="1:8" ht="39" customHeight="1">
      <c r="A23" s="29">
        <v>10</v>
      </c>
      <c r="C23" s="230" t="s">
        <v>411</v>
      </c>
      <c r="D23" s="396">
        <f>VLOOKUP(A23,BUMCT_BMT_ALLO_UNREL_ADULT,9,FALSE)</f>
        <v>0.5</v>
      </c>
    </row>
    <row r="24" spans="1:8" ht="21" customHeight="1">
      <c r="A24" s="47"/>
    </row>
    <row r="25" spans="1:8" s="38" customFormat="1" ht="56.45" customHeight="1">
      <c r="A25" s="37"/>
      <c r="B25" s="205"/>
      <c r="C25" s="567" t="s">
        <v>417</v>
      </c>
      <c r="D25" s="568"/>
      <c r="E25" s="568"/>
      <c r="F25" s="569"/>
    </row>
    <row r="26" spans="1:8">
      <c r="A26" s="47"/>
    </row>
    <row r="27" spans="1:8" ht="36.75" customHeight="1">
      <c r="A27" s="47"/>
      <c r="C27" s="567" t="s">
        <v>398</v>
      </c>
      <c r="D27" s="568"/>
      <c r="E27" s="568"/>
      <c r="F27" s="569"/>
      <c r="G27" s="48"/>
      <c r="H27" s="48"/>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y7BLKticIPMfxw8VVXxXm+mZKJMM7izA0d/JVccAdfuDqT00X2lmUZIcrViZoExF0dHwRX6kSbZtVtwq5u5N+g==" saltValue="v4b2sR/2g/WuL8H/KrMJVQ==" spinCount="100000" sheet="1" objects="1" scenarios="1"/>
  <mergeCells count="7">
    <mergeCell ref="C27:F27"/>
    <mergeCell ref="C25:F25"/>
    <mergeCell ref="B3:F3"/>
    <mergeCell ref="B4:F4"/>
    <mergeCell ref="B5:F5"/>
    <mergeCell ref="B6:F6"/>
    <mergeCell ref="E7:F8"/>
  </mergeCells>
  <printOptions horizontalCentered="1"/>
  <pageMargins left="0.25" right="0.25" top="0.25" bottom="0.25" header="0.25" footer="0.25"/>
  <pageSetup scale="6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9C08-A19D-4D34-A098-DC69AB4846F1}">
  <sheetPr codeName="Sheet27">
    <tabColor rgb="FFFFFF00"/>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1" t="s">
        <v>448</v>
      </c>
      <c r="C3" s="571"/>
      <c r="D3" s="571"/>
      <c r="E3" s="345"/>
      <c r="F3" s="83"/>
      <c r="G3" s="83"/>
    </row>
    <row r="4" spans="1:7" s="33" customFormat="1" ht="19.899999999999999" customHeight="1">
      <c r="A4" s="31"/>
      <c r="B4" s="571" t="s">
        <v>418</v>
      </c>
      <c r="C4" s="571"/>
      <c r="D4" s="571"/>
      <c r="E4" s="303"/>
    </row>
    <row r="5" spans="1:7" s="33" customFormat="1" ht="19.899999999999999" customHeight="1">
      <c r="A5" s="31"/>
      <c r="B5" s="571" t="s">
        <v>384</v>
      </c>
      <c r="C5" s="571"/>
      <c r="D5" s="571"/>
      <c r="E5" s="303"/>
    </row>
    <row r="6" spans="1:7" s="33" customFormat="1" ht="19.899999999999999" customHeight="1">
      <c r="A6" s="31"/>
      <c r="B6" s="571" t="s">
        <v>450</v>
      </c>
      <c r="C6" s="571"/>
      <c r="D6" s="571"/>
      <c r="E6" s="345"/>
      <c r="F6" s="83"/>
      <c r="G6" s="83"/>
    </row>
    <row r="7" spans="1:7" s="38" customFormat="1" ht="14.1">
      <c r="A7" s="37"/>
      <c r="B7" s="205"/>
      <c r="C7" s="206"/>
      <c r="D7" s="304"/>
      <c r="E7" s="205"/>
    </row>
    <row r="8" spans="1:7" ht="12.95">
      <c r="A8" s="47"/>
      <c r="C8" s="208"/>
      <c r="D8" s="202"/>
    </row>
    <row r="9" spans="1:7" ht="39" customHeight="1">
      <c r="A9" s="47"/>
      <c r="C9" s="305" t="s">
        <v>387</v>
      </c>
      <c r="D9" s="305" t="s">
        <v>388</v>
      </c>
      <c r="G9" s="161"/>
    </row>
    <row r="10" spans="1:7" ht="30.6" customHeight="1">
      <c r="A10" s="29">
        <v>1</v>
      </c>
      <c r="C10" s="230" t="s">
        <v>420</v>
      </c>
      <c r="D10" s="165">
        <f>VLOOKUP(A10,BUMCT_TBI,9,FALSE)</f>
        <v>8072</v>
      </c>
    </row>
    <row r="11" spans="1:7" ht="41.1" customHeight="1">
      <c r="A11" s="29"/>
      <c r="C11" s="306" t="s">
        <v>421</v>
      </c>
      <c r="D11" s="466">
        <f>SUM(D10)</f>
        <v>8072</v>
      </c>
    </row>
    <row r="12" spans="1:7" ht="15.6">
      <c r="A12" s="29"/>
      <c r="D12" s="293"/>
    </row>
    <row r="13" spans="1:7" ht="15.6">
      <c r="A13" s="29"/>
      <c r="C13" s="218"/>
    </row>
    <row r="14" spans="1:7" ht="15.6">
      <c r="A14" s="29"/>
    </row>
    <row r="15" spans="1:7" ht="15.6">
      <c r="A15" s="29"/>
    </row>
    <row r="16" spans="1:7">
      <c r="A16" s="28"/>
    </row>
    <row r="17" spans="1:1">
      <c r="A17" s="47"/>
    </row>
    <row r="18" spans="1:1" ht="15.6">
      <c r="A18" s="29"/>
    </row>
    <row r="19" spans="1:1" ht="15.6">
      <c r="A19" s="29"/>
    </row>
    <row r="20" spans="1:1">
      <c r="A20" s="47"/>
    </row>
    <row r="21" spans="1:1">
      <c r="A21" s="47"/>
    </row>
    <row r="22" spans="1:1" ht="15.6">
      <c r="A22" s="29"/>
    </row>
    <row r="23" spans="1:1" ht="15.6">
      <c r="A23" s="29"/>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5SKPtuC3yf2+iJSFlNhJC39TdB5WNDENX9rzZnFWVLSFDhmNBh2GTMpuHUZ6FKJg3vDpT7z5ysi1L1tmEEEuNA==" saltValue="HPWyyeo1hvcOnwWAzB1YTA==" spinCount="100000" sheet="1" objects="1" scenarios="1"/>
  <mergeCells count="4">
    <mergeCell ref="B3:D3"/>
    <mergeCell ref="B4:D4"/>
    <mergeCell ref="B5:D5"/>
    <mergeCell ref="B6:D6"/>
  </mergeCells>
  <printOptions horizontalCentered="1"/>
  <pageMargins left="0.25" right="0.25" top="0.25" bottom="0.25" header="0.25" footer="0.25"/>
  <pageSetup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4.75" style="207" customWidth="1"/>
    <col min="5" max="5" width="18.625" style="207" customWidth="1"/>
    <col min="6" max="6" width="24.5" style="39" customWidth="1"/>
    <col min="7" max="7" width="9"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ht="19.899999999999999" customHeight="1">
      <c r="A2" s="47"/>
    </row>
    <row r="3" spans="1:8" s="33" customFormat="1" ht="19.899999999999999" customHeight="1">
      <c r="A3" s="31"/>
      <c r="B3" s="570" t="s">
        <v>448</v>
      </c>
      <c r="C3" s="570"/>
      <c r="D3" s="570"/>
      <c r="E3" s="570"/>
      <c r="F3" s="570"/>
    </row>
    <row r="4" spans="1:8" s="33" customFormat="1" ht="19.899999999999999" customHeight="1">
      <c r="A4" s="31"/>
      <c r="B4" s="570" t="s">
        <v>435</v>
      </c>
      <c r="C4" s="570"/>
      <c r="D4" s="570"/>
      <c r="E4" s="570"/>
      <c r="F4" s="570"/>
    </row>
    <row r="5" spans="1:8" s="33" customFormat="1" ht="19.899999999999999" customHeight="1">
      <c r="A5" s="31"/>
      <c r="B5" s="571" t="s">
        <v>384</v>
      </c>
      <c r="C5" s="571"/>
      <c r="D5" s="571"/>
      <c r="E5" s="571"/>
      <c r="F5" s="571"/>
    </row>
    <row r="6" spans="1:8" s="33" customFormat="1" ht="19.899999999999999" customHeight="1">
      <c r="A6" s="31"/>
      <c r="B6" s="570" t="s">
        <v>450</v>
      </c>
      <c r="C6" s="570"/>
      <c r="D6" s="570"/>
      <c r="E6" s="570"/>
      <c r="F6" s="570"/>
    </row>
    <row r="7" spans="1:8" s="38" customFormat="1" ht="14.1">
      <c r="A7" s="37"/>
      <c r="B7" s="589"/>
      <c r="C7" s="589"/>
      <c r="D7" s="589"/>
      <c r="E7" s="589"/>
      <c r="F7" s="589"/>
    </row>
    <row r="8" spans="1:8" ht="12.95">
      <c r="A8" s="47"/>
      <c r="D8" s="202"/>
    </row>
    <row r="9" spans="1:8" ht="22.5" customHeight="1">
      <c r="A9" s="47"/>
      <c r="C9" s="208"/>
      <c r="D9" s="202" t="s">
        <v>419</v>
      </c>
      <c r="E9" s="202"/>
      <c r="F9" s="41"/>
      <c r="G9" s="161"/>
    </row>
    <row r="10" spans="1:8" ht="62.25" customHeight="1">
      <c r="A10" s="47"/>
      <c r="C10" s="146" t="s">
        <v>387</v>
      </c>
      <c r="D10" s="146" t="s">
        <v>388</v>
      </c>
      <c r="E10" s="202"/>
      <c r="F10" s="41"/>
    </row>
    <row r="11" spans="1:8" ht="47.25" customHeight="1">
      <c r="A11" s="29">
        <v>1</v>
      </c>
      <c r="C11" s="209" t="s">
        <v>389</v>
      </c>
      <c r="D11" s="165">
        <f>VLOOKUP(A11,BUMCT_KIDNEY_LIVING,9,FALSE)</f>
        <v>5328</v>
      </c>
      <c r="E11" s="202"/>
      <c r="F11" s="41"/>
    </row>
    <row r="12" spans="1:8" ht="40.5" customHeight="1">
      <c r="A12" s="29">
        <v>2</v>
      </c>
      <c r="C12" s="219" t="s">
        <v>463</v>
      </c>
      <c r="D12" s="165">
        <f>VLOOKUP(A12,BUMCT_KIDNEY_LIVING,9,FALSE)</f>
        <v>100283</v>
      </c>
      <c r="E12" s="211"/>
    </row>
    <row r="13" spans="1:8" ht="35.1" customHeight="1">
      <c r="A13" s="29">
        <v>3</v>
      </c>
      <c r="C13" s="219" t="s">
        <v>437</v>
      </c>
      <c r="D13" s="165">
        <f>VLOOKUP(A13,BUMCT_KIDNEY_LIVING,9,FALSE)</f>
        <v>20008</v>
      </c>
      <c r="E13" s="211"/>
    </row>
    <row r="14" spans="1:8" ht="35.1" customHeight="1">
      <c r="A14" s="47"/>
      <c r="C14" s="221" t="s">
        <v>464</v>
      </c>
      <c r="D14" s="238">
        <f>SUM(D11:D13)</f>
        <v>125619</v>
      </c>
    </row>
    <row r="15" spans="1:8" ht="15.6">
      <c r="A15" s="29"/>
      <c r="D15" s="239"/>
    </row>
    <row r="16" spans="1:8" ht="47.1" customHeight="1">
      <c r="A16" s="29">
        <v>4</v>
      </c>
      <c r="C16" s="216" t="s">
        <v>395</v>
      </c>
      <c r="D16" s="182">
        <f>VLOOKUP(A16,BUMCT_KIDNEY_LIVING,9,FALSE)</f>
        <v>2554</v>
      </c>
      <c r="E16" s="203"/>
      <c r="F16" s="30"/>
      <c r="G16" s="30"/>
      <c r="H16" s="30"/>
    </row>
    <row r="17" spans="1:8" ht="54" customHeight="1">
      <c r="A17" s="29">
        <v>5</v>
      </c>
      <c r="C17" s="52" t="s">
        <v>396</v>
      </c>
      <c r="D17" s="225">
        <f>VLOOKUP(A17,BUMCT_KIDNEY_LIVING,9,FALSE)</f>
        <v>8014.1928120000002</v>
      </c>
      <c r="E17" s="203"/>
      <c r="F17" s="30"/>
      <c r="G17" s="30"/>
      <c r="H17" s="30"/>
    </row>
    <row r="18" spans="1:8" ht="35.1" customHeight="1">
      <c r="A18" s="47"/>
      <c r="D18" s="293"/>
    </row>
    <row r="19" spans="1:8" s="38" customFormat="1" ht="56.25" customHeight="1">
      <c r="A19" s="37"/>
      <c r="B19" s="205"/>
      <c r="C19" s="567" t="s">
        <v>417</v>
      </c>
      <c r="D19" s="568"/>
      <c r="E19" s="568"/>
      <c r="F19" s="569"/>
    </row>
    <row r="20" spans="1:8">
      <c r="A20" s="47"/>
      <c r="D20" s="293"/>
    </row>
    <row r="21" spans="1:8">
      <c r="A21" s="47"/>
      <c r="D21" s="293"/>
    </row>
    <row r="22" spans="1:8">
      <c r="A22" s="47"/>
    </row>
    <row r="23" spans="1:8">
      <c r="A23" s="47"/>
    </row>
    <row r="24" spans="1:8">
      <c r="A24" s="47"/>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D/UzwKysIuBy9yHNDYAIEpjXIZddA6y44o/2VtMI42r74UawbXXQf2R2Cc/AM6QUMz+ywaTLI86fW90lX+k9Mw==" saltValue="rgg/yRwWtfn6/82CoIdCEg==" spinCount="100000" sheet="1" objects="1" scenarios="1"/>
  <mergeCells count="6">
    <mergeCell ref="C19:F19"/>
    <mergeCell ref="B7:F7"/>
    <mergeCell ref="B3:F3"/>
    <mergeCell ref="B4:F4"/>
    <mergeCell ref="B5:F5"/>
    <mergeCell ref="B6:F6"/>
  </mergeCells>
  <printOptions horizontalCentered="1"/>
  <pageMargins left="0.25" right="0.25" top="0.25" bottom="0.25" header="0.25" footer="0.25"/>
  <pageSetup scale="7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3">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9" style="207" customWidth="1"/>
    <col min="5" max="5" width="18.625" style="207" customWidth="1"/>
    <col min="6" max="6" width="26.875" style="39" customWidth="1"/>
    <col min="7" max="7" width="10.375"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0" t="s">
        <v>448</v>
      </c>
      <c r="C3" s="570"/>
      <c r="D3" s="570"/>
      <c r="E3" s="570"/>
      <c r="F3" s="570"/>
    </row>
    <row r="4" spans="1:8" s="33" customFormat="1" ht="19.899999999999999" customHeight="1">
      <c r="A4" s="31"/>
      <c r="B4" s="570" t="s">
        <v>431</v>
      </c>
      <c r="C4" s="570"/>
      <c r="D4" s="570"/>
      <c r="E4" s="570"/>
      <c r="F4" s="570"/>
    </row>
    <row r="5" spans="1:8" s="33" customFormat="1" ht="19.899999999999999" customHeight="1">
      <c r="A5" s="31"/>
      <c r="B5" s="571" t="s">
        <v>384</v>
      </c>
      <c r="C5" s="571"/>
      <c r="D5" s="571"/>
      <c r="E5" s="571"/>
      <c r="F5" s="571"/>
    </row>
    <row r="6" spans="1:8" s="33" customFormat="1" ht="19.899999999999999" customHeight="1">
      <c r="A6" s="31"/>
      <c r="B6" s="570" t="s">
        <v>450</v>
      </c>
      <c r="C6" s="570"/>
      <c r="D6" s="570"/>
      <c r="E6" s="570"/>
      <c r="F6" s="570"/>
    </row>
    <row r="7" spans="1:8" s="38" customFormat="1" ht="30" customHeight="1">
      <c r="A7" s="37"/>
      <c r="B7" s="589"/>
      <c r="C7" s="589"/>
      <c r="D7" s="589"/>
      <c r="E7" s="589"/>
      <c r="F7" s="589"/>
    </row>
    <row r="8" spans="1:8" ht="21" customHeight="1">
      <c r="A8" s="47"/>
      <c r="C8" s="208"/>
      <c r="D8" s="202" t="s">
        <v>419</v>
      </c>
      <c r="E8" s="202"/>
      <c r="F8" s="41"/>
    </row>
    <row r="9" spans="1:8" ht="35.1" customHeight="1">
      <c r="A9" s="47"/>
      <c r="C9" s="146" t="s">
        <v>387</v>
      </c>
      <c r="D9" s="146" t="s">
        <v>388</v>
      </c>
      <c r="E9" s="202"/>
      <c r="F9" s="41"/>
      <c r="G9" s="161"/>
    </row>
    <row r="10" spans="1:8" ht="62.25" customHeight="1">
      <c r="A10" s="29">
        <v>1</v>
      </c>
      <c r="C10" s="209" t="s">
        <v>389</v>
      </c>
      <c r="D10" s="158">
        <f>VLOOKUP(A10,BUMCT_KIDNEY_CADAVERIC,9,FALSE)</f>
        <v>5328</v>
      </c>
      <c r="E10" s="202"/>
      <c r="F10" s="41"/>
    </row>
    <row r="11" spans="1:8" ht="35.1" customHeight="1">
      <c r="A11" s="29">
        <v>2</v>
      </c>
      <c r="C11" s="219" t="s">
        <v>465</v>
      </c>
      <c r="D11" s="158">
        <f>VLOOKUP(A11,BUMCT_KIDNEY_CADAVERIC,9,FALSE)</f>
        <v>100283</v>
      </c>
      <c r="E11" s="211"/>
    </row>
    <row r="12" spans="1:8" ht="35.1" customHeight="1">
      <c r="A12" s="47"/>
      <c r="C12" s="221" t="s">
        <v>466</v>
      </c>
      <c r="D12" s="238">
        <f>SUM(D10:D11)</f>
        <v>105611</v>
      </c>
    </row>
    <row r="13" spans="1:8">
      <c r="A13" s="47"/>
      <c r="D13" s="239"/>
    </row>
    <row r="14" spans="1:8" ht="47.1" customHeight="1">
      <c r="A14" s="29">
        <v>3</v>
      </c>
      <c r="C14" s="216" t="s">
        <v>395</v>
      </c>
      <c r="D14" s="158">
        <f>VLOOKUP(A14,BUMCT_KIDNEY_CADAVERIC,9,FALSE)</f>
        <v>2554</v>
      </c>
      <c r="E14" s="203"/>
      <c r="F14" s="30"/>
      <c r="G14" s="30"/>
      <c r="H14" s="30"/>
    </row>
    <row r="15" spans="1:8" ht="54" customHeight="1">
      <c r="A15" s="29">
        <v>4</v>
      </c>
      <c r="C15" s="52" t="s">
        <v>396</v>
      </c>
      <c r="D15" s="225">
        <f>VLOOKUP(A15,BUMCT_KIDNEY_CADAVERIC,9,FALSE)</f>
        <v>8014.1928120000002</v>
      </c>
      <c r="E15" s="203"/>
      <c r="F15" s="30"/>
      <c r="G15" s="30"/>
      <c r="H15" s="30"/>
    </row>
    <row r="16" spans="1:8" ht="15.6">
      <c r="A16" s="29"/>
      <c r="D16" s="293"/>
    </row>
    <row r="17" spans="1:6">
      <c r="A17" s="47"/>
    </row>
    <row r="18" spans="1:6" ht="55.5" customHeight="1">
      <c r="A18" s="47"/>
      <c r="C18" s="567" t="s">
        <v>417</v>
      </c>
      <c r="D18" s="568"/>
      <c r="E18" s="568"/>
      <c r="F18" s="569"/>
    </row>
    <row r="19" spans="1:6">
      <c r="A19" s="47"/>
    </row>
    <row r="20" spans="1:6">
      <c r="A20" s="47"/>
    </row>
    <row r="21" spans="1:6">
      <c r="A21" s="47"/>
    </row>
    <row r="22" spans="1:6">
      <c r="A22" s="47"/>
    </row>
    <row r="23" spans="1:6">
      <c r="A23" s="47"/>
    </row>
    <row r="24" spans="1:6">
      <c r="A24" s="47"/>
    </row>
    <row r="25" spans="1:6">
      <c r="A25" s="47"/>
    </row>
    <row r="26" spans="1:6">
      <c r="A26" s="47"/>
    </row>
    <row r="27" spans="1:6">
      <c r="A27" s="47"/>
    </row>
    <row r="28" spans="1:6">
      <c r="A28" s="47"/>
    </row>
    <row r="29" spans="1:6">
      <c r="A29" s="47"/>
    </row>
    <row r="30" spans="1:6">
      <c r="A30" s="47"/>
    </row>
    <row r="31" spans="1:6">
      <c r="A31" s="47"/>
    </row>
    <row r="32" spans="1:6">
      <c r="A32" s="47"/>
    </row>
    <row r="33" spans="1:1">
      <c r="A33" s="47"/>
    </row>
    <row r="34" spans="1:1">
      <c r="A34" s="47"/>
    </row>
    <row r="35" spans="1:1">
      <c r="A35" s="47"/>
    </row>
  </sheetData>
  <sheetProtection algorithmName="SHA-512" hashValue="NmRBTUoGz3Hy7DEZgH5ylnVxFnyjLBQ5cDFnuuumQ03pZEmi8fQflD4GRD9KFGr3mY929jsze3aQEb2zH1eC3A==" saltValue="g8Ct0oMxj10/5kKrbZztqw==" spinCount="100000" sheet="1" objects="1" scenarios="1"/>
  <mergeCells count="6">
    <mergeCell ref="C18:F18"/>
    <mergeCell ref="B7:F7"/>
    <mergeCell ref="B3:F3"/>
    <mergeCell ref="B4:F4"/>
    <mergeCell ref="B5:F5"/>
    <mergeCell ref="B6:F6"/>
  </mergeCells>
  <printOptions horizontalCentered="1"/>
  <pageMargins left="0.25" right="0.25" top="0.25" bottom="0.25" header="0.25" footer="0.25"/>
  <pageSetup scale="7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5" style="290" customWidth="1"/>
    <col min="4" max="4" width="20.625" style="290" customWidth="1"/>
    <col min="5" max="5" width="17.375" style="290" customWidth="1"/>
    <col min="6" max="6" width="31.875" style="48" customWidth="1"/>
    <col min="7" max="7" width="11.875" style="48" customWidth="1"/>
    <col min="8" max="16384" width="9" style="48"/>
  </cols>
  <sheetData>
    <row r="1" spans="1:8" s="491" customFormat="1" ht="20.100000000000001" hidden="1" customHeight="1">
      <c r="A1" s="481" t="e" cm="1">
        <f t="array" aca="1" ref="A1" ca="1">MID(CELL("filename",A1),FIND("]",CELL("filename",A1))+1,255)</f>
        <v>#VALUE!</v>
      </c>
      <c r="B1" s="490"/>
      <c r="C1" s="29">
        <v>3</v>
      </c>
      <c r="D1" s="29">
        <v>4</v>
      </c>
    </row>
    <row r="2" spans="1:8">
      <c r="A2" s="62"/>
      <c r="B2" s="207"/>
      <c r="C2" s="207"/>
      <c r="D2" s="207"/>
      <c r="E2" s="207"/>
      <c r="F2" s="39"/>
    </row>
    <row r="3" spans="1:8" ht="19.899999999999999" customHeight="1">
      <c r="A3" s="62"/>
      <c r="B3" s="570" t="s">
        <v>448</v>
      </c>
      <c r="C3" s="570"/>
      <c r="D3" s="570"/>
      <c r="E3" s="570"/>
      <c r="F3" s="570"/>
    </row>
    <row r="4" spans="1:8" ht="19.899999999999999" customHeight="1">
      <c r="A4" s="62"/>
      <c r="B4" s="570" t="s">
        <v>467</v>
      </c>
      <c r="C4" s="570"/>
      <c r="D4" s="570"/>
      <c r="E4" s="570"/>
      <c r="F4" s="570"/>
    </row>
    <row r="5" spans="1:8" ht="19.899999999999999" customHeight="1">
      <c r="A5" s="62"/>
      <c r="B5" s="571" t="s">
        <v>384</v>
      </c>
      <c r="C5" s="571"/>
      <c r="D5" s="571"/>
      <c r="E5" s="571"/>
      <c r="F5" s="571"/>
    </row>
    <row r="6" spans="1:8" ht="19.899999999999999" customHeight="1">
      <c r="A6" s="62"/>
      <c r="B6" s="570" t="s">
        <v>450</v>
      </c>
      <c r="C6" s="570"/>
      <c r="D6" s="570"/>
      <c r="E6" s="570"/>
      <c r="F6" s="570"/>
    </row>
    <row r="7" spans="1:8" ht="15.6">
      <c r="A7" s="62"/>
      <c r="B7" s="303"/>
      <c r="C7" s="207"/>
      <c r="D7" s="202"/>
      <c r="E7" s="207"/>
      <c r="F7" s="33"/>
    </row>
    <row r="8" spans="1:8" ht="15.6">
      <c r="A8" s="62"/>
      <c r="B8" s="303"/>
      <c r="C8" s="208"/>
      <c r="D8" s="202" t="s">
        <v>413</v>
      </c>
      <c r="E8" s="202"/>
      <c r="F8" s="32"/>
    </row>
    <row r="9" spans="1:8" ht="35.1" customHeight="1">
      <c r="A9" s="62"/>
      <c r="B9" s="303"/>
      <c r="C9" s="146" t="s">
        <v>387</v>
      </c>
      <c r="D9" s="146" t="s">
        <v>388</v>
      </c>
      <c r="E9" s="202"/>
      <c r="F9" s="41"/>
      <c r="G9" s="161"/>
    </row>
    <row r="10" spans="1:8" ht="51" customHeight="1">
      <c r="A10" s="29">
        <v>1</v>
      </c>
      <c r="B10" s="303"/>
      <c r="C10" s="209" t="s">
        <v>389</v>
      </c>
      <c r="D10" s="158">
        <f>VLOOKUP(A10,BUMCT_PANCREAS_AFTER_KDY,9,FALSE)</f>
        <v>3843</v>
      </c>
      <c r="E10" s="202"/>
      <c r="F10" s="41"/>
    </row>
    <row r="11" spans="1:8" ht="35.1" customHeight="1">
      <c r="A11" s="29">
        <v>2</v>
      </c>
      <c r="B11" s="303"/>
      <c r="C11" s="220" t="s">
        <v>391</v>
      </c>
      <c r="D11" s="158">
        <f>VLOOKUP(A11,BUMCT_PANCREAS_AFTER_KDY,9,FALSE)</f>
        <v>72281</v>
      </c>
      <c r="E11" s="211"/>
      <c r="F11" s="39"/>
    </row>
    <row r="12" spans="1:8" ht="35.1" customHeight="1">
      <c r="A12" s="29">
        <v>3</v>
      </c>
      <c r="B12" s="303"/>
      <c r="C12" s="212" t="s">
        <v>392</v>
      </c>
      <c r="D12" s="158">
        <f>VLOOKUP(A12,BUMCT_PANCREAS_AFTER_KDY,9,FALSE)</f>
        <v>56496</v>
      </c>
      <c r="E12" s="211"/>
      <c r="F12" s="39"/>
    </row>
    <row r="13" spans="1:8" ht="35.1" customHeight="1">
      <c r="A13" s="29">
        <v>4</v>
      </c>
      <c r="B13" s="303"/>
      <c r="C13" s="212" t="s">
        <v>393</v>
      </c>
      <c r="D13" s="158">
        <f>VLOOKUP(A13,BUMCT_PANCREAS_AFTER_KDY,9,FALSE)</f>
        <v>23240</v>
      </c>
      <c r="E13" s="211"/>
      <c r="F13" s="39"/>
    </row>
    <row r="14" spans="1:8" ht="35.1" customHeight="1">
      <c r="A14" s="62"/>
      <c r="B14" s="207"/>
      <c r="C14" s="221" t="s">
        <v>441</v>
      </c>
      <c r="D14" s="238">
        <f>SUM(D10:D13)</f>
        <v>155860</v>
      </c>
      <c r="E14" s="207"/>
      <c r="F14" s="39"/>
    </row>
    <row r="15" spans="1:8">
      <c r="A15" s="62"/>
      <c r="B15" s="207"/>
      <c r="C15" s="218"/>
      <c r="D15" s="239"/>
      <c r="E15" s="207"/>
      <c r="F15" s="39"/>
    </row>
    <row r="16" spans="1:8" s="39" customFormat="1" ht="47.1" customHeight="1">
      <c r="A16" s="29">
        <v>5</v>
      </c>
      <c r="B16" s="207"/>
      <c r="C16" s="216" t="s">
        <v>395</v>
      </c>
      <c r="D16" s="158">
        <f>VLOOKUP(A16,BUMCT_PANCREAS_AFTER_KDY,9,FALSE)</f>
        <v>2554</v>
      </c>
      <c r="E16" s="203"/>
      <c r="F16" s="30"/>
      <c r="G16" s="30"/>
      <c r="H16" s="30"/>
    </row>
    <row r="17" spans="1:8" s="39" customFormat="1" ht="54" customHeight="1">
      <c r="A17" s="29">
        <v>6</v>
      </c>
      <c r="B17" s="207"/>
      <c r="C17" s="52" t="s">
        <v>396</v>
      </c>
      <c r="D17" s="225">
        <f>VLOOKUP(A17,BUMCT_PANCREAS_AFTER_KDY,9,FALSE)</f>
        <v>8014.1928120000002</v>
      </c>
      <c r="E17" s="203"/>
      <c r="F17" s="30"/>
      <c r="G17" s="30"/>
      <c r="H17" s="30"/>
    </row>
    <row r="18" spans="1:8" ht="22.5" customHeight="1">
      <c r="A18" s="62"/>
      <c r="C18" s="207"/>
      <c r="D18" s="293"/>
    </row>
    <row r="19" spans="1:8" ht="63" customHeight="1">
      <c r="A19" s="62"/>
      <c r="C19" s="567" t="s">
        <v>417</v>
      </c>
      <c r="D19" s="568"/>
      <c r="E19" s="568"/>
      <c r="F19" s="569"/>
    </row>
    <row r="20" spans="1:8">
      <c r="A20" s="62"/>
    </row>
    <row r="21" spans="1:8">
      <c r="A21" s="62"/>
    </row>
    <row r="22" spans="1:8">
      <c r="A22" s="62"/>
    </row>
    <row r="23" spans="1:8">
      <c r="A23" s="62"/>
    </row>
    <row r="24" spans="1:8">
      <c r="A24" s="62"/>
    </row>
    <row r="25" spans="1:8">
      <c r="A25" s="62"/>
    </row>
    <row r="26" spans="1:8">
      <c r="A26" s="62"/>
    </row>
    <row r="27" spans="1:8">
      <c r="A27" s="62"/>
    </row>
    <row r="28" spans="1:8">
      <c r="A28" s="62"/>
    </row>
    <row r="29" spans="1:8">
      <c r="A29" s="62"/>
    </row>
    <row r="30" spans="1:8">
      <c r="A30" s="62"/>
    </row>
    <row r="31" spans="1:8">
      <c r="A31" s="62"/>
    </row>
    <row r="32" spans="1:8">
      <c r="A32" s="62"/>
    </row>
    <row r="33" spans="1:1">
      <c r="A33" s="62"/>
    </row>
    <row r="34" spans="1:1">
      <c r="A34" s="62"/>
    </row>
    <row r="35" spans="1:1">
      <c r="A35" s="62"/>
    </row>
  </sheetData>
  <sheetProtection algorithmName="SHA-512" hashValue="/2tiYC0rRWIgMJR2ZYJR0zhO618SAaEE0lO0LuSfSNTkLQnwE0Vq/Svh3ed7X5qaxzNL5iLvBUOTRgw/bvPbGA==" saltValue="SRtiixsWrfviwrNPgb34RA==" spinCount="100000" sheet="1" objects="1" scenarios="1"/>
  <mergeCells count="5">
    <mergeCell ref="C19:F19"/>
    <mergeCell ref="B3:F3"/>
    <mergeCell ref="B4:F4"/>
    <mergeCell ref="B5:F5"/>
    <mergeCell ref="B6:F6"/>
  </mergeCells>
  <printOptions horizontalCentered="1"/>
  <pageMargins left="0.25" right="0.25" top="0.25" bottom="0.25" header="0.25" footer="0.25"/>
  <pageSetup scale="7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5">
    <tabColor rgb="FFFFFF00"/>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1.875" style="207" customWidth="1"/>
    <col min="5" max="5" width="18.625" style="207" customWidth="1"/>
    <col min="6" max="6" width="32.375" style="39" customWidth="1"/>
    <col min="7" max="7" width="12.5"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0" t="s">
        <v>448</v>
      </c>
      <c r="C3" s="570"/>
      <c r="D3" s="570"/>
      <c r="E3" s="570"/>
      <c r="F3" s="570"/>
    </row>
    <row r="4" spans="1:8" s="33" customFormat="1" ht="19.899999999999999" customHeight="1">
      <c r="A4" s="31"/>
      <c r="B4" s="570" t="s">
        <v>468</v>
      </c>
      <c r="C4" s="570"/>
      <c r="D4" s="570"/>
      <c r="E4" s="570"/>
      <c r="F4" s="570"/>
    </row>
    <row r="5" spans="1:8" s="33" customFormat="1" ht="19.899999999999999" customHeight="1">
      <c r="A5" s="31"/>
      <c r="B5" s="571" t="s">
        <v>384</v>
      </c>
      <c r="C5" s="571"/>
      <c r="D5" s="571"/>
      <c r="E5" s="571"/>
      <c r="F5" s="571"/>
    </row>
    <row r="6" spans="1:8" s="33" customFormat="1" ht="19.899999999999999" customHeight="1">
      <c r="A6" s="31"/>
      <c r="B6" s="570" t="s">
        <v>450</v>
      </c>
      <c r="C6" s="570"/>
      <c r="D6" s="570"/>
      <c r="E6" s="570"/>
      <c r="F6" s="570"/>
    </row>
    <row r="7" spans="1:8" ht="12.95">
      <c r="A7" s="47"/>
      <c r="D7" s="202"/>
    </row>
    <row r="8" spans="1:8" ht="21.75" customHeight="1">
      <c r="A8" s="47"/>
      <c r="C8" s="208"/>
      <c r="D8" s="202" t="s">
        <v>413</v>
      </c>
      <c r="E8" s="202"/>
      <c r="F8" s="41"/>
    </row>
    <row r="9" spans="1:8" ht="35.1" customHeight="1">
      <c r="A9" s="47"/>
      <c r="C9" s="146" t="s">
        <v>387</v>
      </c>
      <c r="D9" s="146" t="s">
        <v>388</v>
      </c>
      <c r="E9" s="202"/>
      <c r="F9" s="41"/>
      <c r="G9" s="161"/>
    </row>
    <row r="10" spans="1:8" ht="56.25" customHeight="1">
      <c r="A10" s="29">
        <v>1</v>
      </c>
      <c r="C10" s="209" t="s">
        <v>389</v>
      </c>
      <c r="D10" s="158">
        <f>VLOOKUP(A10,BUMCT_SIM_PANCREA_KDY,9,FALSE)</f>
        <v>5518</v>
      </c>
      <c r="E10" s="202"/>
      <c r="F10" s="41"/>
    </row>
    <row r="11" spans="1:8" ht="35.1" customHeight="1">
      <c r="A11" s="29">
        <v>2</v>
      </c>
      <c r="C11" s="210" t="s">
        <v>391</v>
      </c>
      <c r="D11" s="158">
        <f>VLOOKUP(A11,BUMCT_SIM_PANCREA_KDY,9,FALSE)</f>
        <v>88453</v>
      </c>
      <c r="E11" s="211"/>
    </row>
    <row r="12" spans="1:8" ht="35.1" customHeight="1">
      <c r="A12" s="29">
        <v>3</v>
      </c>
      <c r="C12" s="212" t="s">
        <v>392</v>
      </c>
      <c r="D12" s="158">
        <f>VLOOKUP(A12,BUMCT_SIM_PANCREA_KDY,9,FALSE)</f>
        <v>79634</v>
      </c>
      <c r="E12" s="211"/>
    </row>
    <row r="13" spans="1:8" ht="35.1" customHeight="1">
      <c r="A13" s="29">
        <v>4</v>
      </c>
      <c r="C13" s="212" t="s">
        <v>393</v>
      </c>
      <c r="D13" s="158">
        <f>VLOOKUP(A13,BUMCT_SIM_PANCREA_KDY,9,FALSE)</f>
        <v>23243</v>
      </c>
      <c r="E13" s="211"/>
    </row>
    <row r="14" spans="1:8" ht="35.1" customHeight="1">
      <c r="A14" s="62"/>
      <c r="C14" s="221" t="s">
        <v>469</v>
      </c>
      <c r="D14" s="238">
        <f>SUM(D10:D13)</f>
        <v>196848</v>
      </c>
    </row>
    <row r="15" spans="1:8">
      <c r="A15" s="62"/>
      <c r="C15" s="218"/>
      <c r="D15" s="239"/>
    </row>
    <row r="16" spans="1:8" ht="47.1" customHeight="1">
      <c r="A16" s="29">
        <v>5</v>
      </c>
      <c r="C16" s="216" t="s">
        <v>395</v>
      </c>
      <c r="D16" s="158">
        <f>VLOOKUP(A16,BUMCT_SIM_PANCREA_KDY,9,FALSE)</f>
        <v>2554</v>
      </c>
      <c r="E16" s="203"/>
      <c r="F16" s="30"/>
      <c r="G16" s="30"/>
      <c r="H16" s="30"/>
    </row>
    <row r="17" spans="1:8" ht="54" customHeight="1">
      <c r="A17" s="29">
        <v>6</v>
      </c>
      <c r="C17" s="52" t="s">
        <v>396</v>
      </c>
      <c r="D17" s="225">
        <f>VLOOKUP(A17,BUMCT_SIM_PANCREA_KDY,9,FALSE)</f>
        <v>8014.1928120000002</v>
      </c>
      <c r="E17" s="203"/>
      <c r="F17" s="30"/>
      <c r="G17" s="30"/>
      <c r="H17" s="30"/>
    </row>
    <row r="18" spans="1:8" ht="26.45" customHeight="1">
      <c r="A18" s="47"/>
      <c r="D18" s="293"/>
    </row>
    <row r="19" spans="1:8" s="48" customFormat="1" ht="57" customHeight="1">
      <c r="A19" s="62"/>
      <c r="B19" s="207"/>
      <c r="C19" s="567" t="s">
        <v>397</v>
      </c>
      <c r="D19" s="568"/>
      <c r="E19" s="568"/>
      <c r="F19" s="569"/>
    </row>
    <row r="20" spans="1:8">
      <c r="A20" s="47"/>
    </row>
    <row r="21" spans="1:8">
      <c r="A21" s="47"/>
    </row>
    <row r="22" spans="1:8">
      <c r="A22" s="47"/>
    </row>
    <row r="23" spans="1:8">
      <c r="A23" s="47"/>
    </row>
    <row r="24" spans="1:8">
      <c r="A24" s="47"/>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ND9e28AEPPCKQLIv8psG4W/UMilOFztUQQx2ojwVfLrSbYWowPEY3Uo/JTOiPS7THNOd3mYIs0F816iNbQHUGg==" saltValue="HWpfXEjVQWyCHMXqAGl3Qw==" spinCount="100000" sheet="1" objects="1" scenarios="1"/>
  <mergeCells count="5">
    <mergeCell ref="C19:F19"/>
    <mergeCell ref="B3:F3"/>
    <mergeCell ref="B4:F4"/>
    <mergeCell ref="B5:F5"/>
    <mergeCell ref="B6:F6"/>
  </mergeCells>
  <printOptions horizontalCentered="1"/>
  <pageMargins left="0.25" right="0.25" top="0.25" bottom="0.25" header="0.25" footer="0.25"/>
  <pageSetup scale="76"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C109-5BA2-47F6-B325-E71CEDED33CE}">
  <sheetPr codeName="Sheet45">
    <tabColor rgb="FFCCFFCC"/>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0" hidden="1" customWidth="1"/>
    <col min="2" max="2" width="6.625" style="203" customWidth="1"/>
    <col min="3" max="3" width="69.5" style="203" customWidth="1"/>
    <col min="4" max="4" width="19.875" style="203" customWidth="1"/>
    <col min="5" max="5" width="32" style="203" customWidth="1"/>
    <col min="6" max="6" width="13.25" style="30" customWidth="1"/>
    <col min="7" max="16384" width="9" style="30"/>
  </cols>
  <sheetData>
    <row r="1" spans="1:7" s="493" customFormat="1" ht="20.100000000000001" hidden="1" customHeight="1">
      <c r="A1" s="481" t="e" cm="1">
        <f t="array" aca="1" ref="A1" ca="1">MID(CELL("filename",A1),FIND("]",CELL("filename",A1))+1,255)</f>
        <v>#VALUE!</v>
      </c>
      <c r="B1" s="492"/>
      <c r="C1" s="29">
        <v>3</v>
      </c>
      <c r="D1" s="29">
        <v>4</v>
      </c>
    </row>
    <row r="2" spans="1:7">
      <c r="A2" s="28"/>
    </row>
    <row r="3" spans="1:7" s="33" customFormat="1" ht="19.899999999999999" customHeight="1">
      <c r="A3" s="31"/>
      <c r="B3" s="571" t="s">
        <v>470</v>
      </c>
      <c r="C3" s="571"/>
      <c r="D3" s="571"/>
      <c r="E3" s="571"/>
    </row>
    <row r="4" spans="1:7" s="33" customFormat="1" ht="19.899999999999999" customHeight="1">
      <c r="A4" s="31"/>
      <c r="B4" s="571" t="s">
        <v>383</v>
      </c>
      <c r="C4" s="571"/>
      <c r="D4" s="571"/>
      <c r="E4" s="571"/>
    </row>
    <row r="5" spans="1:7" s="33" customFormat="1" ht="19.899999999999999" customHeight="1">
      <c r="A5" s="31"/>
      <c r="B5" s="571" t="s">
        <v>384</v>
      </c>
      <c r="C5" s="571"/>
      <c r="D5" s="571"/>
      <c r="E5" s="571"/>
    </row>
    <row r="6" spans="1:7" s="33" customFormat="1" ht="19.899999999999999" customHeight="1">
      <c r="A6" s="31"/>
      <c r="B6" s="571" t="s">
        <v>471</v>
      </c>
      <c r="C6" s="571"/>
      <c r="D6" s="571"/>
      <c r="E6" s="571"/>
    </row>
    <row r="7" spans="1:7" s="38" customFormat="1" ht="14.1">
      <c r="A7" s="37"/>
      <c r="B7" s="205"/>
      <c r="C7" s="206"/>
      <c r="D7" s="205"/>
      <c r="E7" s="205"/>
    </row>
    <row r="8" spans="1:7" ht="12.95">
      <c r="A8" s="28"/>
      <c r="B8" s="207"/>
      <c r="C8" s="208"/>
      <c r="D8" s="202" t="s">
        <v>386</v>
      </c>
      <c r="E8" s="202"/>
    </row>
    <row r="9" spans="1:7" ht="40.15" customHeight="1">
      <c r="A9" s="28"/>
      <c r="B9" s="207"/>
      <c r="C9" s="146" t="s">
        <v>387</v>
      </c>
      <c r="D9" s="146" t="s">
        <v>388</v>
      </c>
      <c r="E9" s="202"/>
      <c r="G9" s="161"/>
    </row>
    <row r="10" spans="1:7" ht="47.25" customHeight="1">
      <c r="A10" s="29">
        <v>1</v>
      </c>
      <c r="B10" s="207"/>
      <c r="C10" s="209" t="s">
        <v>389</v>
      </c>
      <c r="D10" s="158">
        <f>VLOOKUP(A10,CITYHOPE_BMT_AUT_ADULT,9,FALSE)</f>
        <v>6509</v>
      </c>
      <c r="E10" s="202"/>
    </row>
    <row r="11" spans="1:7" ht="35.1" customHeight="1">
      <c r="A11" s="29">
        <v>2</v>
      </c>
      <c r="B11" s="207"/>
      <c r="C11" s="210" t="s">
        <v>390</v>
      </c>
      <c r="D11" s="158">
        <f>VLOOKUP(A11,CITYHOPE_BMT_AUT_ADULT,9,FALSE)</f>
        <v>16110</v>
      </c>
      <c r="E11" s="211"/>
    </row>
    <row r="12" spans="1:7" ht="35.1" customHeight="1">
      <c r="A12" s="29">
        <v>3</v>
      </c>
      <c r="B12" s="207"/>
      <c r="C12" s="210" t="s">
        <v>391</v>
      </c>
      <c r="D12" s="158">
        <f>VLOOKUP(A12,CITYHOPE_BMT_AUT_ADULT,9,FALSE)</f>
        <v>120816</v>
      </c>
      <c r="E12" s="211"/>
    </row>
    <row r="13" spans="1:7" ht="35.1" customHeight="1">
      <c r="A13" s="29">
        <v>4</v>
      </c>
      <c r="B13" s="207"/>
      <c r="C13" s="212" t="s">
        <v>392</v>
      </c>
      <c r="D13" s="158">
        <f>VLOOKUP(A13,CITYHOPE_BMT_AUT_ADULT,9,FALSE)</f>
        <v>30607</v>
      </c>
      <c r="E13" s="211"/>
    </row>
    <row r="14" spans="1:7" ht="35.1" customHeight="1">
      <c r="A14" s="29">
        <v>5</v>
      </c>
      <c r="B14" s="207"/>
      <c r="C14" s="212" t="s">
        <v>393</v>
      </c>
      <c r="D14" s="158">
        <f>VLOOKUP(A14,CITYHOPE_BMT_AUT_ADULT,9,FALSE)</f>
        <v>11277</v>
      </c>
      <c r="E14" s="211"/>
    </row>
    <row r="15" spans="1:7" ht="35.1" customHeight="1">
      <c r="A15" s="62"/>
      <c r="B15" s="207"/>
      <c r="C15" s="213" t="s">
        <v>394</v>
      </c>
      <c r="D15" s="214">
        <f>SUM(D10:D14)</f>
        <v>185319</v>
      </c>
      <c r="E15" s="207"/>
    </row>
    <row r="16" spans="1:7">
      <c r="A16" s="28"/>
      <c r="B16" s="207"/>
      <c r="C16" s="207"/>
      <c r="D16" s="215"/>
      <c r="E16" s="207"/>
    </row>
    <row r="17" spans="1:8" s="39" customFormat="1" ht="47.1" customHeight="1">
      <c r="A17" s="29">
        <v>6</v>
      </c>
      <c r="B17" s="207"/>
      <c r="C17" s="216" t="s">
        <v>395</v>
      </c>
      <c r="D17" s="158">
        <f>VLOOKUP(A17,CITYHOPE_BMT_AUT_ADULT,9,FALSE)</f>
        <v>2554</v>
      </c>
      <c r="E17" s="203"/>
      <c r="F17" s="30"/>
      <c r="G17" s="30"/>
    </row>
    <row r="18" spans="1:8" s="39" customFormat="1" ht="54" customHeight="1">
      <c r="A18" s="29">
        <v>7</v>
      </c>
      <c r="B18" s="207"/>
      <c r="C18" s="52" t="s">
        <v>396</v>
      </c>
      <c r="D18" s="225">
        <f>VLOOKUP(A18,CITYHOPE_BMT_AUT_ADULT,9,FALSE)</f>
        <v>8014.1928120000002</v>
      </c>
      <c r="E18" s="203"/>
      <c r="F18" s="30"/>
      <c r="G18" s="30"/>
    </row>
    <row r="19" spans="1:8" s="48" customFormat="1" ht="33" customHeight="1">
      <c r="A19" s="62"/>
      <c r="B19" s="290"/>
      <c r="C19" s="207"/>
      <c r="D19" s="293"/>
      <c r="E19" s="290"/>
    </row>
    <row r="20" spans="1:8" ht="58.5" customHeight="1">
      <c r="A20" s="28"/>
      <c r="B20" s="207"/>
      <c r="C20" s="581" t="s">
        <v>397</v>
      </c>
      <c r="D20" s="582"/>
      <c r="E20" s="583"/>
    </row>
    <row r="21" spans="1:8">
      <c r="A21" s="28"/>
      <c r="B21" s="207"/>
      <c r="C21" s="207"/>
      <c r="D21" s="207"/>
      <c r="E21" s="207"/>
    </row>
    <row r="22" spans="1:8">
      <c r="A22" s="28"/>
      <c r="B22" s="207"/>
      <c r="C22" s="218"/>
      <c r="D22" s="207"/>
      <c r="E22" s="207"/>
    </row>
    <row r="23" spans="1:8" s="39" customFormat="1" ht="33" customHeight="1">
      <c r="A23" s="47"/>
      <c r="B23" s="207"/>
      <c r="C23" s="567" t="s">
        <v>398</v>
      </c>
      <c r="D23" s="568"/>
      <c r="E23" s="568"/>
      <c r="F23" s="569"/>
      <c r="G23" s="48"/>
      <c r="H23" s="48"/>
    </row>
    <row r="24" spans="1:8">
      <c r="A24" s="28"/>
      <c r="B24" s="207"/>
      <c r="C24" s="207"/>
      <c r="D24" s="207"/>
      <c r="E24" s="207"/>
    </row>
    <row r="25" spans="1:8">
      <c r="A25" s="28"/>
      <c r="B25" s="207"/>
      <c r="C25" s="207"/>
      <c r="D25" s="207"/>
      <c r="E25" s="207"/>
    </row>
    <row r="26" spans="1:8">
      <c r="A26" s="28"/>
    </row>
    <row r="27" spans="1:8">
      <c r="A27" s="28"/>
      <c r="C27" s="203" t="s">
        <v>399</v>
      </c>
    </row>
    <row r="28" spans="1:8">
      <c r="A28" s="28"/>
    </row>
    <row r="29" spans="1:8">
      <c r="A29" s="28"/>
    </row>
    <row r="30" spans="1:8">
      <c r="A30" s="28"/>
    </row>
    <row r="31" spans="1:8">
      <c r="A31" s="28"/>
    </row>
    <row r="32" spans="1:8">
      <c r="A32" s="28"/>
    </row>
    <row r="33" spans="1:1">
      <c r="A33" s="28"/>
    </row>
    <row r="34" spans="1:1">
      <c r="A34" s="28"/>
    </row>
    <row r="35" spans="1:1">
      <c r="A35" s="28"/>
    </row>
  </sheetData>
  <sheetProtection algorithmName="SHA-512" hashValue="wb006iGl2eybaMO2Qpdzqx8RudxhAqCg9aaZP1J+9GquDNxBqu/rXqkl3rnKV5Ke/MrKqnE9HydBiJ9p0iAAMw==" saltValue="AjmuCfdCug8yZt+Nm9oPOQ==" spinCount="100000" sheet="1" objects="1" scenarios="1"/>
  <mergeCells count="6">
    <mergeCell ref="C23:F23"/>
    <mergeCell ref="B3:E3"/>
    <mergeCell ref="B4:E4"/>
    <mergeCell ref="B5:E5"/>
    <mergeCell ref="B6:E6"/>
    <mergeCell ref="C20:E20"/>
  </mergeCells>
  <printOptions horizontalCentered="1"/>
  <pageMargins left="0.25" right="0.25" top="0.25" bottom="0.25" header="0.25" footer="0.25"/>
  <pageSetup scale="7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A6760-4C32-4A16-B3DF-37E4AC418489}">
  <sheetPr codeName="Sheet40">
    <tabColor rgb="FFCCFFCC"/>
    <pageSetUpPr fitToPage="1"/>
  </sheetPr>
  <dimension ref="A1:H35"/>
  <sheetViews>
    <sheetView showGridLines="0" zoomScale="90" zoomScaleNormal="90" zoomScaleSheetLayoutView="70" workbookViewId="0">
      <pane ySplit="6" topLeftCell="A9" activePane="bottomLeft" state="frozen"/>
      <selection pane="bottomLeft" activeCell="E10" sqref="E10"/>
      <selection activeCell="E10" sqref="E10"/>
    </sheetView>
  </sheetViews>
  <sheetFormatPr defaultColWidth="9" defaultRowHeight="12.6"/>
  <cols>
    <col min="1" max="1" width="30.625" style="39" hidden="1" customWidth="1"/>
    <col min="2" max="2" width="6.625" style="207" customWidth="1"/>
    <col min="3" max="3" width="65.125" style="207" customWidth="1"/>
    <col min="4" max="4" width="32.625" style="207" customWidth="1"/>
    <col min="5" max="5" width="18.625" style="207" customWidth="1"/>
    <col min="6" max="6" width="23.75" style="39" customWidth="1"/>
    <col min="7" max="7" width="11"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c r="G2" s="85"/>
    </row>
    <row r="3" spans="1:7" s="33" customFormat="1" ht="19.899999999999999" customHeight="1">
      <c r="A3" s="31"/>
      <c r="B3" s="570" t="s">
        <v>470</v>
      </c>
      <c r="C3" s="570"/>
      <c r="D3" s="570"/>
      <c r="E3" s="570"/>
      <c r="F3" s="570"/>
    </row>
    <row r="4" spans="1:7" s="33" customFormat="1" ht="19.899999999999999" customHeight="1">
      <c r="A4" s="31"/>
      <c r="B4" s="570" t="s">
        <v>412</v>
      </c>
      <c r="C4" s="570"/>
      <c r="D4" s="570"/>
      <c r="E4" s="570"/>
      <c r="F4" s="570"/>
    </row>
    <row r="5" spans="1:7" s="33" customFormat="1" ht="19.899999999999999" customHeight="1">
      <c r="A5" s="31"/>
      <c r="B5" s="571" t="s">
        <v>384</v>
      </c>
      <c r="C5" s="571"/>
      <c r="D5" s="571"/>
      <c r="E5" s="571"/>
      <c r="F5" s="571"/>
    </row>
    <row r="6" spans="1:7" s="33" customFormat="1" ht="19.899999999999999" customHeight="1">
      <c r="A6" s="31"/>
      <c r="B6" s="570" t="s">
        <v>471</v>
      </c>
      <c r="C6" s="570"/>
      <c r="D6" s="570"/>
      <c r="E6" s="570"/>
      <c r="F6" s="570"/>
    </row>
    <row r="7" spans="1:7" ht="12.95">
      <c r="A7" s="47"/>
      <c r="D7" s="202"/>
      <c r="E7" s="584"/>
      <c r="F7" s="584"/>
    </row>
    <row r="8" spans="1:7" ht="18" customHeight="1">
      <c r="A8" s="47"/>
      <c r="C8" s="208"/>
      <c r="D8" s="202" t="s">
        <v>386</v>
      </c>
      <c r="E8" s="584"/>
      <c r="F8" s="584"/>
    </row>
    <row r="9" spans="1:7" ht="24.95" customHeight="1">
      <c r="A9" s="47"/>
      <c r="C9" s="146" t="s">
        <v>387</v>
      </c>
      <c r="D9" s="146" t="s">
        <v>388</v>
      </c>
      <c r="E9" s="202"/>
      <c r="F9" s="41"/>
      <c r="G9" s="161"/>
    </row>
    <row r="10" spans="1:7" ht="47.25" customHeight="1">
      <c r="A10" s="29">
        <v>1</v>
      </c>
      <c r="C10" s="209" t="s">
        <v>389</v>
      </c>
      <c r="D10" s="158">
        <f t="shared" ref="D10:D15" si="0">VLOOKUP(A10,CITYHOPE_BMT_ALLO_UNREL_AD,9,FALSE)</f>
        <v>6797</v>
      </c>
      <c r="E10" s="202"/>
      <c r="F10" s="41"/>
    </row>
    <row r="11" spans="1:7" ht="35.1" customHeight="1">
      <c r="A11" s="29">
        <v>2</v>
      </c>
      <c r="C11" s="220" t="s">
        <v>414</v>
      </c>
      <c r="D11" s="158">
        <f t="shared" si="0"/>
        <v>12003</v>
      </c>
      <c r="E11" s="211"/>
    </row>
    <row r="12" spans="1:7" ht="35.1" customHeight="1">
      <c r="A12" s="29">
        <v>3</v>
      </c>
      <c r="C12" s="219" t="s">
        <v>407</v>
      </c>
      <c r="D12" s="158" t="str">
        <f t="shared" si="0"/>
        <v>NBMD or Cord blood Invoice Cost</v>
      </c>
      <c r="E12" s="211"/>
    </row>
    <row r="13" spans="1:7" ht="35.1" customHeight="1">
      <c r="A13" s="29">
        <v>4</v>
      </c>
      <c r="C13" s="220" t="s">
        <v>391</v>
      </c>
      <c r="D13" s="158">
        <f t="shared" si="0"/>
        <v>121835</v>
      </c>
      <c r="E13" s="211"/>
    </row>
    <row r="14" spans="1:7" ht="35.1" customHeight="1">
      <c r="A14" s="29">
        <v>5</v>
      </c>
      <c r="C14" s="212" t="s">
        <v>392</v>
      </c>
      <c r="D14" s="158">
        <f t="shared" si="0"/>
        <v>46463</v>
      </c>
      <c r="E14" s="211"/>
    </row>
    <row r="15" spans="1:7" ht="35.1" customHeight="1">
      <c r="A15" s="29">
        <v>6</v>
      </c>
      <c r="C15" s="212" t="s">
        <v>393</v>
      </c>
      <c r="D15" s="158">
        <f t="shared" si="0"/>
        <v>34258</v>
      </c>
      <c r="E15" s="211"/>
    </row>
    <row r="16" spans="1:7" ht="35.1" customHeight="1">
      <c r="A16" s="28"/>
      <c r="C16" s="221" t="s">
        <v>415</v>
      </c>
      <c r="D16" s="238">
        <f>SUM(D10:D15)</f>
        <v>221356</v>
      </c>
    </row>
    <row r="17" spans="1:8">
      <c r="A17" s="47"/>
      <c r="D17" s="224"/>
    </row>
    <row r="18" spans="1:8" ht="47.1" customHeight="1">
      <c r="A18" s="29">
        <v>7</v>
      </c>
      <c r="C18" s="216" t="s">
        <v>395</v>
      </c>
      <c r="D18" s="182">
        <f>VLOOKUP(A18,CITYHOPE_BMT_ALLO_UNREL_AD,9,FALSE)</f>
        <v>2554</v>
      </c>
      <c r="E18" s="203"/>
      <c r="F18" s="30"/>
      <c r="G18" s="30"/>
      <c r="H18" s="30"/>
    </row>
    <row r="19" spans="1:8" ht="54" customHeight="1">
      <c r="A19" s="29">
        <v>8</v>
      </c>
      <c r="C19" s="52" t="s">
        <v>396</v>
      </c>
      <c r="D19" s="225">
        <f>VLOOKUP(A19,CITYHOPE_BMT_ALLO_UNREL_AD,9,FALSE)</f>
        <v>8014.1928120000002</v>
      </c>
      <c r="E19" s="203"/>
      <c r="F19" s="30"/>
      <c r="G19" s="30"/>
      <c r="H19" s="30"/>
    </row>
    <row r="20" spans="1:8" ht="20.100000000000001" customHeight="1">
      <c r="A20" s="47"/>
      <c r="D20" s="224"/>
    </row>
    <row r="21" spans="1:8" ht="24" customHeight="1">
      <c r="A21" s="47"/>
      <c r="C21" s="218"/>
      <c r="D21" s="467" t="s">
        <v>409</v>
      </c>
    </row>
    <row r="22" spans="1:8" ht="64.5" customHeight="1">
      <c r="A22" s="29">
        <v>9</v>
      </c>
      <c r="C22" s="228" t="s">
        <v>416</v>
      </c>
      <c r="D22" s="234">
        <f>VLOOKUP(A22,CITYHOPE_BMT_ALLO_UNREL_AD,9,FALSE)</f>
        <v>282079</v>
      </c>
    </row>
    <row r="23" spans="1:8" ht="39" customHeight="1">
      <c r="A23" s="29">
        <v>10</v>
      </c>
      <c r="C23" s="230" t="s">
        <v>411</v>
      </c>
      <c r="D23" s="396">
        <f>VLOOKUP(A23,CITYHOPE_BMT_ALLO_UNREL_AD,9,FALSE)</f>
        <v>0.5</v>
      </c>
    </row>
    <row r="24" spans="1:8" ht="21" customHeight="1">
      <c r="A24" s="47"/>
    </row>
    <row r="25" spans="1:8" s="38" customFormat="1" ht="56.45" customHeight="1">
      <c r="A25" s="37"/>
      <c r="B25" s="205"/>
      <c r="C25" s="567" t="s">
        <v>417</v>
      </c>
      <c r="D25" s="568"/>
      <c r="E25" s="568"/>
      <c r="F25" s="569"/>
    </row>
    <row r="26" spans="1:8">
      <c r="A26" s="47"/>
    </row>
    <row r="27" spans="1:8" ht="36.75" customHeight="1">
      <c r="A27" s="47"/>
      <c r="C27" s="567" t="s">
        <v>398</v>
      </c>
      <c r="D27" s="568"/>
      <c r="E27" s="568"/>
      <c r="F27" s="569"/>
      <c r="G27" s="48"/>
      <c r="H27" s="48"/>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d/ySmSyDra7ST1430swJt90zIV01Qhm6BZ2IrmxFw57iY4IOxffVx+i4SFt4lagW92qpw8GQFJNO5F80AM5mdw==" saltValue="ECiBezPg8hXqxVKcY/QeUA==" spinCount="100000" sheet="1" objects="1" scenarios="1"/>
  <mergeCells count="7">
    <mergeCell ref="C27:F27"/>
    <mergeCell ref="B3:F3"/>
    <mergeCell ref="B4:F4"/>
    <mergeCell ref="B5:F5"/>
    <mergeCell ref="B6:F6"/>
    <mergeCell ref="E7:F8"/>
    <mergeCell ref="C25:F25"/>
  </mergeCells>
  <printOptions horizontalCentered="1"/>
  <pageMargins left="0.25" right="0.25" top="0.25" bottom="0.25" header="0.25" footer="0.25"/>
  <pageSetup scale="6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7650-E7DB-482E-8D0B-1BF6F9AFC55F}">
  <sheetPr codeName="Sheet41">
    <tabColor rgb="FFCCFFCC"/>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7.375" style="207" customWidth="1"/>
    <col min="5" max="5" width="18.625" style="207" customWidth="1"/>
    <col min="6" max="6" width="20.375" style="39" customWidth="1"/>
    <col min="7" max="7" width="11.25"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0" t="s">
        <v>470</v>
      </c>
      <c r="C3" s="570"/>
      <c r="D3" s="570"/>
      <c r="E3" s="570"/>
      <c r="F3" s="570"/>
      <c r="H3" s="85"/>
    </row>
    <row r="4" spans="1:8" s="33" customFormat="1" ht="19.899999999999999" customHeight="1">
      <c r="A4" s="31"/>
      <c r="B4" s="570" t="s">
        <v>400</v>
      </c>
      <c r="C4" s="570"/>
      <c r="D4" s="570"/>
      <c r="E4" s="570"/>
      <c r="F4" s="570"/>
    </row>
    <row r="5" spans="1:8" s="33" customFormat="1" ht="19.899999999999999" customHeight="1">
      <c r="A5" s="31"/>
      <c r="B5" s="571" t="s">
        <v>384</v>
      </c>
      <c r="C5" s="571"/>
      <c r="D5" s="571"/>
      <c r="E5" s="571"/>
      <c r="F5" s="571"/>
    </row>
    <row r="6" spans="1:8" s="33" customFormat="1" ht="19.899999999999999" customHeight="1">
      <c r="A6" s="31"/>
      <c r="B6" s="570" t="s">
        <v>471</v>
      </c>
      <c r="C6" s="570"/>
      <c r="D6" s="570"/>
      <c r="E6" s="570"/>
      <c r="F6" s="570"/>
    </row>
    <row r="7" spans="1:8" s="33" customFormat="1" ht="12.75" customHeight="1">
      <c r="A7" s="31"/>
      <c r="B7" s="204"/>
      <c r="C7" s="204"/>
      <c r="D7" s="204"/>
      <c r="E7" s="204"/>
      <c r="F7" s="32"/>
    </row>
    <row r="8" spans="1:8" ht="15.75" customHeight="1">
      <c r="A8" s="47"/>
      <c r="D8" s="202" t="s">
        <v>386</v>
      </c>
      <c r="E8" s="208"/>
    </row>
    <row r="9" spans="1:8" ht="35.1" customHeight="1">
      <c r="A9" s="47"/>
      <c r="C9" s="146" t="s">
        <v>387</v>
      </c>
      <c r="D9" s="146" t="s">
        <v>388</v>
      </c>
      <c r="E9" s="202"/>
      <c r="F9" s="41"/>
      <c r="G9" s="161"/>
    </row>
    <row r="10" spans="1:8" ht="56.25" customHeight="1">
      <c r="A10" s="29">
        <v>1</v>
      </c>
      <c r="C10" s="209" t="s">
        <v>389</v>
      </c>
      <c r="D10" s="158">
        <f t="shared" ref="D10:D15" si="0">VLOOKUP(A10,CITYHOPE_BMT_ALLO_REL_ADULT,9,FALSE)</f>
        <v>6554</v>
      </c>
      <c r="E10" s="202"/>
      <c r="F10" s="41"/>
    </row>
    <row r="11" spans="1:8" ht="35.1" customHeight="1">
      <c r="A11" s="29">
        <v>2</v>
      </c>
      <c r="C11" s="219" t="s">
        <v>454</v>
      </c>
      <c r="D11" s="158">
        <f t="shared" si="0"/>
        <v>7228</v>
      </c>
      <c r="E11" s="211"/>
    </row>
    <row r="12" spans="1:8" ht="35.1" customHeight="1">
      <c r="A12" s="29">
        <v>3</v>
      </c>
      <c r="C12" s="209" t="s">
        <v>402</v>
      </c>
      <c r="D12" s="158">
        <f t="shared" si="0"/>
        <v>17036</v>
      </c>
      <c r="E12" s="211"/>
    </row>
    <row r="13" spans="1:8" ht="35.1" customHeight="1">
      <c r="A13" s="29">
        <v>4</v>
      </c>
      <c r="C13" s="210" t="s">
        <v>391</v>
      </c>
      <c r="D13" s="158">
        <f t="shared" si="0"/>
        <v>113575</v>
      </c>
      <c r="E13" s="211"/>
    </row>
    <row r="14" spans="1:8" ht="35.1" customHeight="1">
      <c r="A14" s="29">
        <v>5</v>
      </c>
      <c r="C14" s="212" t="s">
        <v>392</v>
      </c>
      <c r="D14" s="158">
        <f t="shared" si="0"/>
        <v>43365</v>
      </c>
      <c r="E14" s="211"/>
    </row>
    <row r="15" spans="1:8" ht="35.1" customHeight="1">
      <c r="A15" s="29">
        <v>6</v>
      </c>
      <c r="C15" s="212" t="s">
        <v>393</v>
      </c>
      <c r="D15" s="158">
        <f t="shared" si="0"/>
        <v>12307</v>
      </c>
      <c r="E15" s="211"/>
    </row>
    <row r="16" spans="1:8" ht="35.1" customHeight="1">
      <c r="A16" s="28"/>
      <c r="C16" s="221" t="s">
        <v>403</v>
      </c>
      <c r="D16" s="238">
        <f>SUM(D10:D15)</f>
        <v>200065</v>
      </c>
      <c r="E16" s="211"/>
    </row>
    <row r="17" spans="1:8">
      <c r="A17" s="47"/>
      <c r="D17" s="239"/>
    </row>
    <row r="18" spans="1:8" ht="51" customHeight="1">
      <c r="A18" s="29">
        <v>7</v>
      </c>
      <c r="C18" s="216" t="s">
        <v>395</v>
      </c>
      <c r="D18" s="158">
        <f>VLOOKUP(A18,CITYHOPE_BMT_ALLO_REL_ADULT,9,FALSE)</f>
        <v>2554</v>
      </c>
      <c r="E18" s="203"/>
      <c r="F18" s="30"/>
      <c r="G18" s="30"/>
    </row>
    <row r="19" spans="1:8" ht="57.6" customHeight="1">
      <c r="A19" s="29">
        <v>8</v>
      </c>
      <c r="C19" s="52" t="s">
        <v>396</v>
      </c>
      <c r="D19" s="225">
        <f>VLOOKUP(A19,CITYHOPE_BMT_ALLO_REL_ADULT,9,FALSE)</f>
        <v>8014.1928120000002</v>
      </c>
      <c r="E19" s="45"/>
      <c r="F19" s="45"/>
      <c r="G19" s="147"/>
    </row>
    <row r="20" spans="1:8" ht="36.6" customHeight="1">
      <c r="A20" s="47"/>
      <c r="D20" s="293"/>
    </row>
    <row r="21" spans="1:8" s="38" customFormat="1" ht="60.75" customHeight="1">
      <c r="A21" s="37"/>
      <c r="B21" s="205"/>
      <c r="C21" s="567" t="s">
        <v>458</v>
      </c>
      <c r="D21" s="568"/>
      <c r="E21" s="568"/>
      <c r="F21" s="569"/>
    </row>
    <row r="22" spans="1:8">
      <c r="A22" s="47"/>
    </row>
    <row r="23" spans="1:8">
      <c r="A23" s="47"/>
    </row>
    <row r="24" spans="1:8" ht="36.75" customHeight="1">
      <c r="A24" s="47"/>
      <c r="C24" s="567" t="s">
        <v>398</v>
      </c>
      <c r="D24" s="568"/>
      <c r="E24" s="568"/>
      <c r="F24" s="569"/>
      <c r="G24" s="48"/>
      <c r="H24" s="48"/>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RF59BzMnn2N7DNOOheT03CV69FE3efiGzz3Laz2r8eKrgnYQGgq8O+5PSQyJo1U/4uYdABBifHj+6swCu/0xjQ==" saltValue="UqYHRO0hu8iuVeiCnpwWPg==" spinCount="100000" sheet="1" objects="1" scenarios="1"/>
  <mergeCells count="6">
    <mergeCell ref="C24:F24"/>
    <mergeCell ref="B3:F3"/>
    <mergeCell ref="B4:F4"/>
    <mergeCell ref="B5:F5"/>
    <mergeCell ref="B6:F6"/>
    <mergeCell ref="C21:F21"/>
  </mergeCells>
  <printOptions horizontalCentered="1"/>
  <pageMargins left="0.25" right="0.25" top="0.25" bottom="0.25" header="0.25" footer="0.25"/>
  <pageSetup scale="7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B15A-8510-47D4-B6E0-E9CC5C36ACE1}">
  <sheetPr codeName="Sheet42">
    <tabColor rgb="FFCCFFCC"/>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25" style="207" customWidth="1"/>
    <col min="4" max="4" width="26.625" style="207" customWidth="1"/>
    <col min="5" max="5" width="18.625" style="207" customWidth="1"/>
    <col min="6" max="6" width="27.75" style="39" customWidth="1"/>
    <col min="7" max="7" width="9" style="39" customWidth="1"/>
    <col min="8" max="16384" width="9" style="39"/>
  </cols>
  <sheetData>
    <row r="1" spans="1:8" s="483" customFormat="1" ht="20.100000000000001" hidden="1" customHeight="1">
      <c r="A1" s="481" t="e" cm="1">
        <f t="array" aca="1" ref="A1" ca="1">MID(CELL("filename",A1),FIND("]",CELL("filename",A1))+1,255)</f>
        <v>#VALUE!</v>
      </c>
      <c r="B1" s="482"/>
      <c r="C1" s="29">
        <v>3</v>
      </c>
      <c r="D1" s="29">
        <v>4</v>
      </c>
    </row>
    <row r="2" spans="1:8" ht="19.899999999999999" customHeight="1">
      <c r="A2" s="47"/>
    </row>
    <row r="3" spans="1:8" s="33" customFormat="1" ht="19.899999999999999" customHeight="1">
      <c r="A3" s="31"/>
      <c r="B3" s="570" t="s">
        <v>470</v>
      </c>
      <c r="C3" s="570"/>
      <c r="D3" s="570"/>
      <c r="E3" s="570"/>
      <c r="F3" s="570"/>
      <c r="H3" s="85"/>
    </row>
    <row r="4" spans="1:8" s="33" customFormat="1" ht="19.899999999999999" customHeight="1">
      <c r="A4" s="31"/>
      <c r="B4" s="570" t="s">
        <v>405</v>
      </c>
      <c r="C4" s="570"/>
      <c r="D4" s="570"/>
      <c r="E4" s="570"/>
      <c r="F4" s="570"/>
    </row>
    <row r="5" spans="1:8" s="33" customFormat="1" ht="19.899999999999999" customHeight="1">
      <c r="A5" s="31"/>
      <c r="B5" s="571" t="s">
        <v>384</v>
      </c>
      <c r="C5" s="571"/>
      <c r="D5" s="571"/>
      <c r="E5" s="571"/>
      <c r="F5" s="571"/>
    </row>
    <row r="6" spans="1:8" s="33" customFormat="1" ht="19.899999999999999" customHeight="1">
      <c r="A6" s="31"/>
      <c r="B6" s="570" t="s">
        <v>471</v>
      </c>
      <c r="C6" s="570"/>
      <c r="D6" s="570"/>
      <c r="E6" s="570"/>
      <c r="F6" s="570"/>
    </row>
    <row r="7" spans="1:8" ht="12.95">
      <c r="A7" s="47"/>
      <c r="D7" s="202"/>
      <c r="E7" s="584"/>
      <c r="F7" s="584"/>
    </row>
    <row r="8" spans="1:8" ht="15.6" customHeight="1">
      <c r="A8" s="47"/>
      <c r="C8" s="208"/>
      <c r="D8" s="202" t="s">
        <v>386</v>
      </c>
      <c r="E8" s="584"/>
      <c r="F8" s="584"/>
    </row>
    <row r="9" spans="1:8" ht="24.95" customHeight="1">
      <c r="A9" s="47"/>
      <c r="C9" s="146" t="s">
        <v>387</v>
      </c>
      <c r="D9" s="468" t="s">
        <v>388</v>
      </c>
      <c r="E9" s="202"/>
      <c r="F9" s="41"/>
      <c r="G9" s="161"/>
    </row>
    <row r="10" spans="1:8" ht="47.25" customHeight="1">
      <c r="A10" s="29">
        <v>1</v>
      </c>
      <c r="C10" s="209" t="s">
        <v>389</v>
      </c>
      <c r="D10" s="164">
        <f t="shared" ref="D10:D15" si="0">VLOOKUP(A10,CITYHOPE_BMT_HAPLOID_ADULT,9,FALSE)</f>
        <v>6652</v>
      </c>
      <c r="E10" s="202"/>
      <c r="F10" s="41"/>
    </row>
    <row r="11" spans="1:8" ht="35.1" customHeight="1">
      <c r="A11" s="29">
        <v>2</v>
      </c>
      <c r="C11" s="219" t="s">
        <v>462</v>
      </c>
      <c r="D11" s="164">
        <f t="shared" si="0"/>
        <v>11745</v>
      </c>
      <c r="E11" s="211"/>
    </row>
    <row r="12" spans="1:8" ht="35.1" customHeight="1">
      <c r="A12" s="29">
        <v>3</v>
      </c>
      <c r="C12" s="219" t="s">
        <v>407</v>
      </c>
      <c r="D12" s="164">
        <f t="shared" si="0"/>
        <v>17687</v>
      </c>
      <c r="E12" s="211"/>
    </row>
    <row r="13" spans="1:8" ht="35.1" customHeight="1">
      <c r="A13" s="29">
        <v>4</v>
      </c>
      <c r="C13" s="220" t="s">
        <v>391</v>
      </c>
      <c r="D13" s="164">
        <f t="shared" si="0"/>
        <v>119770</v>
      </c>
      <c r="E13" s="211"/>
    </row>
    <row r="14" spans="1:8" ht="34.5" customHeight="1">
      <c r="A14" s="29">
        <v>5</v>
      </c>
      <c r="C14" s="212" t="s">
        <v>392</v>
      </c>
      <c r="D14" s="164">
        <f t="shared" si="0"/>
        <v>45122</v>
      </c>
      <c r="E14" s="211"/>
    </row>
    <row r="15" spans="1:8" ht="35.1" customHeight="1">
      <c r="A15" s="29">
        <v>6</v>
      </c>
      <c r="C15" s="212" t="s">
        <v>393</v>
      </c>
      <c r="D15" s="164">
        <f t="shared" si="0"/>
        <v>33412</v>
      </c>
      <c r="E15" s="211"/>
    </row>
    <row r="16" spans="1:8" ht="35.1" customHeight="1">
      <c r="A16" s="28"/>
      <c r="C16" s="221" t="s">
        <v>408</v>
      </c>
      <c r="D16" s="336">
        <f>SUM(D10:D15)</f>
        <v>234388</v>
      </c>
    </row>
    <row r="17" spans="1:8">
      <c r="A17" s="47"/>
      <c r="D17" s="337"/>
    </row>
    <row r="18" spans="1:8" ht="47.1" customHeight="1">
      <c r="A18" s="29">
        <v>7</v>
      </c>
      <c r="C18" s="216" t="s">
        <v>395</v>
      </c>
      <c r="D18" s="182">
        <f>VLOOKUP(A18,CITYHOPE_BMT_HAPLOID_ADULT,9,FALSE)</f>
        <v>2554</v>
      </c>
      <c r="E18" s="203"/>
      <c r="F18" s="30"/>
      <c r="G18" s="30"/>
      <c r="H18" s="30"/>
    </row>
    <row r="19" spans="1:8" ht="54" customHeight="1">
      <c r="A19" s="29">
        <v>8</v>
      </c>
      <c r="C19" s="52" t="s">
        <v>396</v>
      </c>
      <c r="D19" s="225">
        <f>VLOOKUP(A19,CITYHOPE_BMT_HAPLOID_ADULT,9,FALSE)</f>
        <v>8014.1928120000002</v>
      </c>
      <c r="E19" s="203"/>
      <c r="F19" s="30"/>
      <c r="G19" s="30"/>
      <c r="H19" s="30"/>
    </row>
    <row r="20" spans="1:8" ht="20.100000000000001" customHeight="1">
      <c r="A20" s="47"/>
      <c r="D20" s="338"/>
    </row>
    <row r="21" spans="1:8" ht="22.5" customHeight="1">
      <c r="A21" s="47"/>
      <c r="C21" s="218"/>
      <c r="D21" s="467" t="s">
        <v>409</v>
      </c>
    </row>
    <row r="22" spans="1:8" ht="66" customHeight="1">
      <c r="A22" s="29">
        <v>9</v>
      </c>
      <c r="C22" s="228" t="s">
        <v>410</v>
      </c>
      <c r="D22" s="469">
        <f>VLOOKUP(A22,CITYHOPE_BMT_HAPLOID_ADULT,9,FALSE)</f>
        <v>257557</v>
      </c>
    </row>
    <row r="23" spans="1:8" ht="42" customHeight="1">
      <c r="A23" s="29">
        <v>10</v>
      </c>
      <c r="C23" s="230" t="s">
        <v>411</v>
      </c>
      <c r="D23" s="396">
        <f>VLOOKUP(A23,CITYHOPE_BMT_HAPLOID_ADULT,9,FALSE)</f>
        <v>0.5</v>
      </c>
    </row>
    <row r="24" spans="1:8">
      <c r="A24" s="47"/>
    </row>
    <row r="25" spans="1:8" ht="57.95" customHeight="1">
      <c r="A25" s="47"/>
      <c r="C25" s="567" t="s">
        <v>458</v>
      </c>
      <c r="D25" s="568"/>
      <c r="E25" s="568"/>
      <c r="F25" s="569"/>
    </row>
    <row r="26" spans="1:8">
      <c r="A26" s="47"/>
    </row>
    <row r="27" spans="1:8" ht="36.75" customHeight="1">
      <c r="A27" s="47"/>
      <c r="C27" s="567" t="s">
        <v>398</v>
      </c>
      <c r="D27" s="568"/>
      <c r="E27" s="568"/>
      <c r="F27" s="569"/>
      <c r="G27" s="48"/>
      <c r="H27" s="48"/>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CN3Jq4qP1Rv+jfqPAbUGE0e4tu7jBzIaLXLxifx16mhR+PL2tZvSNHcjGBEV2W/zUwrY9kMcxFj3cVu2UGWuQw==" saltValue="BPI/qUuWIkboZyXmUaNwUw==" spinCount="100000" sheet="1" objects="1" scenarios="1"/>
  <mergeCells count="7">
    <mergeCell ref="C27:F27"/>
    <mergeCell ref="B3:F3"/>
    <mergeCell ref="B4:F4"/>
    <mergeCell ref="B5:F5"/>
    <mergeCell ref="B6:F6"/>
    <mergeCell ref="E7:F8"/>
    <mergeCell ref="C25:F25"/>
  </mergeCells>
  <printOptions horizontalCentered="1"/>
  <pageMargins left="0.25" right="0.25" top="0.25" bottom="0.25" header="0.25" footer="0.25"/>
  <pageSetup scale="6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2">
    <tabColor rgb="FFFFC000"/>
    <pageSetUpPr fitToPage="1"/>
  </sheetPr>
  <dimension ref="A1:J34"/>
  <sheetViews>
    <sheetView showGridLines="0" topLeftCell="B2" zoomScale="90" zoomScaleNormal="90" zoomScaleSheetLayoutView="70" workbookViewId="0">
      <selection activeCell="B5" sqref="B5:E5"/>
    </sheetView>
  </sheetViews>
  <sheetFormatPr defaultColWidth="9" defaultRowHeight="12.6"/>
  <cols>
    <col min="1" max="1" width="30.625" style="30" hidden="1" customWidth="1"/>
    <col min="2" max="2" width="6.625" style="203" customWidth="1"/>
    <col min="3" max="3" width="68.25" style="203" customWidth="1"/>
    <col min="4" max="4" width="25.875" style="203" customWidth="1"/>
    <col min="5" max="5" width="20.125" style="203" customWidth="1"/>
    <col min="6" max="6" width="19.5" style="30" customWidth="1"/>
    <col min="7" max="7" width="13.875" style="30" customWidth="1"/>
    <col min="8" max="8" width="9" style="30"/>
    <col min="9" max="9" width="16.375" style="30" customWidth="1"/>
    <col min="10" max="10" width="14.375" style="30" bestFit="1" customWidth="1"/>
    <col min="11" max="16384" width="9" style="30"/>
  </cols>
  <sheetData>
    <row r="1" spans="1:10" s="493" customFormat="1" ht="20.100000000000001" hidden="1" customHeight="1">
      <c r="A1" s="481" t="e" cm="1">
        <f t="array" aca="1" ref="A1" ca="1">MID(CELL("filename",A1),FIND("]",CELL("filename",A1))+1,255)</f>
        <v>#VALUE!</v>
      </c>
      <c r="B1" s="492"/>
      <c r="C1" s="29">
        <v>3</v>
      </c>
      <c r="D1" s="29">
        <v>4</v>
      </c>
    </row>
    <row r="2" spans="1:10" ht="15.6">
      <c r="A2" s="49"/>
    </row>
    <row r="3" spans="1:10" s="38" customFormat="1" ht="20.45" customHeight="1">
      <c r="A3" s="37"/>
      <c r="B3" s="571" t="s">
        <v>472</v>
      </c>
      <c r="C3" s="571"/>
      <c r="D3" s="571"/>
      <c r="E3" s="571"/>
      <c r="G3" s="92"/>
    </row>
    <row r="4" spans="1:10" ht="15.6">
      <c r="A4" s="28"/>
      <c r="B4" s="571" t="s">
        <v>449</v>
      </c>
      <c r="C4" s="571"/>
      <c r="D4" s="571"/>
      <c r="E4" s="571"/>
    </row>
    <row r="5" spans="1:10" ht="18.600000000000001" customHeight="1">
      <c r="A5" s="28"/>
      <c r="B5" s="571" t="s">
        <v>473</v>
      </c>
      <c r="C5" s="571"/>
      <c r="D5" s="571"/>
      <c r="E5" s="571"/>
    </row>
    <row r="6" spans="1:10" ht="24" customHeight="1">
      <c r="A6" s="28"/>
      <c r="B6" s="571" t="s">
        <v>474</v>
      </c>
      <c r="C6" s="571"/>
      <c r="D6" s="571"/>
      <c r="E6" s="571"/>
    </row>
    <row r="7" spans="1:10" ht="35.1" customHeight="1">
      <c r="A7" s="28"/>
      <c r="B7" s="207"/>
      <c r="C7" s="208"/>
      <c r="D7" s="202" t="s">
        <v>451</v>
      </c>
      <c r="E7" s="202"/>
    </row>
    <row r="8" spans="1:10" ht="35.1" customHeight="1">
      <c r="A8" s="28"/>
      <c r="B8" s="207"/>
      <c r="C8" s="146" t="s">
        <v>387</v>
      </c>
      <c r="D8" s="332" t="s">
        <v>451</v>
      </c>
    </row>
    <row r="9" spans="1:10" ht="57" customHeight="1">
      <c r="A9" s="29">
        <v>1</v>
      </c>
      <c r="B9" s="207"/>
      <c r="C9" s="380" t="s">
        <v>475</v>
      </c>
      <c r="D9" s="461">
        <f>VLOOKUP(A9,LPCH_BMT_AUT_PEDS,9,FALSE)</f>
        <v>0.35</v>
      </c>
      <c r="G9" s="167"/>
    </row>
    <row r="10" spans="1:10" ht="32.1" customHeight="1">
      <c r="A10" s="29">
        <v>2</v>
      </c>
      <c r="B10" s="207"/>
      <c r="C10" s="210" t="s">
        <v>390</v>
      </c>
      <c r="D10" s="175" t="str">
        <f>VLOOKUP(A10,LPCH_BMT_AUT_PEDS,9,FALSE)</f>
        <v>included in rate</v>
      </c>
      <c r="G10" s="143"/>
    </row>
    <row r="11" spans="1:10" ht="35.1" customHeight="1">
      <c r="A11" s="29">
        <v>3</v>
      </c>
      <c r="B11" s="207"/>
      <c r="C11" s="210" t="s">
        <v>391</v>
      </c>
      <c r="D11" s="158">
        <f>VLOOKUP(A11,LPCH_BMT_AUT_PEDS,9,FALSE)</f>
        <v>83461</v>
      </c>
      <c r="G11" s="143"/>
      <c r="J11" s="144"/>
    </row>
    <row r="12" spans="1:10" ht="34.5" customHeight="1">
      <c r="A12" s="29">
        <v>4</v>
      </c>
      <c r="B12" s="207"/>
      <c r="C12" s="212" t="s">
        <v>392</v>
      </c>
      <c r="D12" s="158">
        <f>VLOOKUP(A12,LPCH_BMT_AUT_PEDS,9,FALSE)</f>
        <v>96916</v>
      </c>
      <c r="G12" s="143"/>
      <c r="J12" s="144"/>
    </row>
    <row r="13" spans="1:10" ht="27" customHeight="1">
      <c r="A13" s="29">
        <v>5</v>
      </c>
      <c r="B13" s="207"/>
      <c r="C13" s="212" t="s">
        <v>393</v>
      </c>
      <c r="D13" s="462">
        <f>VLOOKUP(A13,LPCH_BMT_AUT_PEDS,9,FALSE)</f>
        <v>28276</v>
      </c>
      <c r="G13" s="143"/>
      <c r="J13" s="144"/>
    </row>
    <row r="14" spans="1:10" ht="36" customHeight="1">
      <c r="A14" s="62"/>
      <c r="B14" s="207"/>
      <c r="C14" s="213" t="s">
        <v>394</v>
      </c>
      <c r="D14" s="214">
        <f>SUM(D9:D13)</f>
        <v>208653.35</v>
      </c>
      <c r="G14" s="143"/>
      <c r="J14" s="144"/>
    </row>
    <row r="15" spans="1:10" ht="12.95">
      <c r="A15" s="28"/>
      <c r="B15" s="207"/>
      <c r="C15" s="221"/>
      <c r="D15" s="463"/>
    </row>
    <row r="16" spans="1:10" s="39" customFormat="1" ht="30.95" customHeight="1">
      <c r="A16" s="29">
        <v>6</v>
      </c>
      <c r="B16" s="207"/>
      <c r="C16" s="220" t="s">
        <v>476</v>
      </c>
      <c r="D16" s="182" t="str">
        <f>VLOOKUP(A16,LPCH_BMT_AUT_PEDS,9,FALSE)</f>
        <v>included in rate</v>
      </c>
      <c r="E16" s="203"/>
      <c r="F16" s="30"/>
    </row>
    <row r="17" spans="1:8" s="39" customFormat="1" ht="27.95" customHeight="1">
      <c r="A17" s="47"/>
      <c r="B17" s="207"/>
      <c r="C17" s="207"/>
      <c r="D17" s="207"/>
      <c r="E17" s="207"/>
      <c r="H17" s="109"/>
    </row>
    <row r="18" spans="1:8" s="39" customFormat="1" ht="45" customHeight="1">
      <c r="A18" s="29">
        <v>7</v>
      </c>
      <c r="B18" s="207"/>
      <c r="C18" s="230" t="s">
        <v>477</v>
      </c>
      <c r="D18" s="231">
        <f>VLOOKUP(A18,LPCH_BMT_AUT_PEDS,9,FALSE)</f>
        <v>0.35</v>
      </c>
      <c r="E18" s="464"/>
      <c r="F18" s="30"/>
    </row>
    <row r="19" spans="1:8" s="39" customFormat="1" ht="41.1" customHeight="1">
      <c r="A19" s="47"/>
      <c r="B19" s="207"/>
      <c r="C19" s="207"/>
      <c r="D19" s="451" t="s">
        <v>409</v>
      </c>
      <c r="E19" s="203"/>
      <c r="F19" s="30"/>
      <c r="G19" s="30"/>
    </row>
    <row r="20" spans="1:8" s="71" customFormat="1" ht="66.95" customHeight="1">
      <c r="A20" s="29">
        <v>8</v>
      </c>
      <c r="B20" s="262"/>
      <c r="C20" s="281" t="s">
        <v>478</v>
      </c>
      <c r="D20" s="234">
        <f>VLOOKUP(A20,LPCH_BMT_AUT_PEDS,9,FALSE)</f>
        <v>367927</v>
      </c>
      <c r="E20" s="203"/>
      <c r="F20" s="30"/>
      <c r="G20" s="30"/>
    </row>
    <row r="21" spans="1:8" s="71" customFormat="1" ht="36.950000000000003" customHeight="1">
      <c r="A21" s="29">
        <v>9</v>
      </c>
      <c r="B21" s="262"/>
      <c r="C21" s="61" t="s">
        <v>479</v>
      </c>
      <c r="D21" s="396">
        <f>VLOOKUP(A21,LPCH_BMT_AUT_PEDS,9,FALSE)</f>
        <v>0.35</v>
      </c>
      <c r="E21" s="203"/>
      <c r="F21" s="30"/>
      <c r="G21" s="30"/>
    </row>
    <row r="22" spans="1:8" s="71" customFormat="1" ht="17.45" customHeight="1">
      <c r="A22" s="70"/>
      <c r="B22" s="262"/>
      <c r="C22" s="278"/>
      <c r="D22" s="465"/>
      <c r="E22" s="203"/>
      <c r="F22" s="30"/>
      <c r="G22" s="30"/>
    </row>
    <row r="23" spans="1:8" ht="25.5" customHeight="1">
      <c r="A23" s="28"/>
      <c r="B23" s="207"/>
      <c r="C23" s="365"/>
      <c r="D23" s="358"/>
    </row>
    <row r="24" spans="1:8" ht="40.5" customHeight="1">
      <c r="A24" s="28"/>
      <c r="B24" s="207"/>
      <c r="C24" s="581" t="s">
        <v>452</v>
      </c>
      <c r="D24" s="582"/>
      <c r="E24" s="583"/>
      <c r="F24" s="145"/>
    </row>
    <row r="25" spans="1:8">
      <c r="A25" s="28"/>
      <c r="B25" s="207"/>
      <c r="C25" s="207"/>
      <c r="D25" s="293"/>
      <c r="E25" s="207"/>
      <c r="F25" s="39"/>
    </row>
    <row r="26" spans="1:8">
      <c r="A26" s="28"/>
      <c r="B26" s="207"/>
      <c r="C26" s="218"/>
      <c r="D26" s="207"/>
      <c r="E26" s="207"/>
    </row>
    <row r="27" spans="1:8">
      <c r="A27" s="28"/>
    </row>
    <row r="28" spans="1:8">
      <c r="A28" s="28"/>
    </row>
    <row r="29" spans="1:8">
      <c r="A29" s="28"/>
    </row>
    <row r="30" spans="1:8">
      <c r="A30" s="28"/>
    </row>
    <row r="31" spans="1:8">
      <c r="A31" s="28"/>
    </row>
    <row r="32" spans="1:8">
      <c r="A32" s="28"/>
    </row>
    <row r="33" spans="1:1">
      <c r="A33" s="28"/>
    </row>
    <row r="34" spans="1:1">
      <c r="A34" s="28"/>
    </row>
  </sheetData>
  <sheetProtection algorithmName="SHA-512" hashValue="YiH5fnAlVtj2UGVFfI76MA1LqKIeyFQ40H+APzo3RClUjiAPd08dccJxXApCbX8LVZgMGqnt2dje6XRYlvhYZA==" saltValue="SeWIEMmCDmcjbYATjcLuFw==" spinCount="100000" sheet="1" objects="1" scenarios="1"/>
  <mergeCells count="5">
    <mergeCell ref="B3:E3"/>
    <mergeCell ref="B4:E4"/>
    <mergeCell ref="B5:E5"/>
    <mergeCell ref="B6:E6"/>
    <mergeCell ref="C24:E24"/>
  </mergeCells>
  <printOptions horizontalCentered="1"/>
  <pageMargins left="0.25" right="0.25" top="0.25" bottom="0.25" header="0.25" footer="0.25"/>
  <pageSetup scale="6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3">
    <tabColor rgb="FFFFC000"/>
    <pageSetUpPr fitToPage="1"/>
  </sheetPr>
  <dimension ref="A1:I35"/>
  <sheetViews>
    <sheetView showGridLines="0" showWhiteSpace="0" topLeftCell="B2" zoomScale="90" zoomScaleNormal="90" zoomScaleSheetLayoutView="70" workbookViewId="0">
      <selection activeCell="B5" sqref="B5:E5"/>
    </sheetView>
  </sheetViews>
  <sheetFormatPr defaultColWidth="9" defaultRowHeight="12.6"/>
  <cols>
    <col min="1" max="1" width="30.625" style="39" hidden="1" customWidth="1"/>
    <col min="2" max="2" width="6.625" style="207" customWidth="1"/>
    <col min="3" max="3" width="66.875" style="207" customWidth="1"/>
    <col min="4" max="4" width="24.875" style="207" customWidth="1"/>
    <col min="5" max="5" width="22.375" style="207" customWidth="1"/>
    <col min="6" max="6" width="14.125" style="39" customWidth="1"/>
    <col min="7" max="7" width="12.625" style="39" customWidth="1"/>
    <col min="8" max="8" width="9" style="39" customWidth="1"/>
    <col min="9" max="10" width="9" style="39"/>
    <col min="11" max="11" width="16.625" style="39" customWidth="1"/>
    <col min="12" max="16384" width="9" style="39"/>
  </cols>
  <sheetData>
    <row r="1" spans="1:9" s="483" customFormat="1" ht="20.100000000000001" hidden="1" customHeight="1">
      <c r="A1" s="481" t="e" cm="1">
        <f t="array" aca="1" ref="A1" ca="1">MID(CELL("filename",A1),FIND("]",CELL("filename",A1))+1,255)</f>
        <v>#VALUE!</v>
      </c>
      <c r="B1" s="482"/>
      <c r="C1" s="29">
        <v>3</v>
      </c>
      <c r="D1" s="113">
        <v>4</v>
      </c>
    </row>
    <row r="2" spans="1:9">
      <c r="A2" s="47"/>
    </row>
    <row r="3" spans="1:9" ht="15.6">
      <c r="A3" s="47"/>
      <c r="B3" s="571" t="s">
        <v>472</v>
      </c>
      <c r="C3" s="571"/>
      <c r="D3" s="571"/>
      <c r="E3" s="571"/>
      <c r="F3" s="83"/>
    </row>
    <row r="4" spans="1:9" ht="15.6">
      <c r="A4" s="47"/>
      <c r="B4" s="571" t="s">
        <v>453</v>
      </c>
      <c r="C4" s="571"/>
      <c r="D4" s="571"/>
      <c r="E4" s="571"/>
      <c r="F4" s="83"/>
    </row>
    <row r="5" spans="1:9" ht="15.6">
      <c r="A5" s="47"/>
      <c r="B5" s="571" t="s">
        <v>473</v>
      </c>
      <c r="C5" s="571"/>
      <c r="D5" s="571"/>
      <c r="E5" s="571"/>
      <c r="F5" s="116"/>
    </row>
    <row r="6" spans="1:9" ht="15.6">
      <c r="A6" s="47"/>
      <c r="B6" s="571" t="s">
        <v>474</v>
      </c>
      <c r="C6" s="571"/>
      <c r="D6" s="571"/>
      <c r="E6" s="571"/>
      <c r="F6" s="72"/>
    </row>
    <row r="7" spans="1:9" s="33" customFormat="1" ht="23.1" customHeight="1">
      <c r="A7" s="31"/>
      <c r="B7" s="345"/>
      <c r="C7" s="345"/>
      <c r="D7" s="345"/>
      <c r="E7" s="345"/>
      <c r="F7" s="83"/>
      <c r="G7" s="83"/>
    </row>
    <row r="8" spans="1:9" ht="15.75" customHeight="1">
      <c r="A8" s="47"/>
      <c r="D8" s="202" t="s">
        <v>451</v>
      </c>
      <c r="E8" s="208"/>
    </row>
    <row r="9" spans="1:9" ht="30" customHeight="1">
      <c r="A9" s="47"/>
      <c r="C9" s="146" t="s">
        <v>387</v>
      </c>
      <c r="D9" s="146"/>
      <c r="G9" s="167"/>
    </row>
    <row r="10" spans="1:9" ht="57" customHeight="1">
      <c r="A10" s="29">
        <v>1</v>
      </c>
      <c r="C10" s="380" t="s">
        <v>475</v>
      </c>
      <c r="D10" s="396">
        <f t="shared" ref="D10:D15" si="0">VLOOKUP(A10,LPCH_ALLO_RELA_PEDS,9,FALSE)</f>
        <v>0.35</v>
      </c>
    </row>
    <row r="11" spans="1:9" ht="30" customHeight="1">
      <c r="A11" s="29">
        <v>2</v>
      </c>
      <c r="C11" s="210" t="s">
        <v>480</v>
      </c>
      <c r="D11" s="162" t="str">
        <f t="shared" si="0"/>
        <v>N/A</v>
      </c>
      <c r="E11" s="345"/>
    </row>
    <row r="12" spans="1:9" ht="30" customHeight="1">
      <c r="A12" s="29">
        <v>3</v>
      </c>
      <c r="C12" s="209" t="s">
        <v>402</v>
      </c>
      <c r="D12" s="460" t="str">
        <f t="shared" si="0"/>
        <v>included in rate</v>
      </c>
    </row>
    <row r="13" spans="1:9" ht="30" customHeight="1">
      <c r="A13" s="29">
        <v>4</v>
      </c>
      <c r="C13" s="210" t="s">
        <v>391</v>
      </c>
      <c r="D13" s="158">
        <f t="shared" si="0"/>
        <v>180451</v>
      </c>
      <c r="I13" s="30"/>
    </row>
    <row r="14" spans="1:9" ht="30" customHeight="1">
      <c r="A14" s="29">
        <v>5</v>
      </c>
      <c r="C14" s="212" t="s">
        <v>392</v>
      </c>
      <c r="D14" s="158">
        <f t="shared" si="0"/>
        <v>240696</v>
      </c>
      <c r="I14" s="30"/>
    </row>
    <row r="15" spans="1:9" ht="46.5" customHeight="1">
      <c r="A15" s="29">
        <v>6</v>
      </c>
      <c r="C15" s="212" t="s">
        <v>393</v>
      </c>
      <c r="D15" s="158">
        <f t="shared" si="0"/>
        <v>53150</v>
      </c>
      <c r="I15" s="30"/>
    </row>
    <row r="16" spans="1:9" ht="54" customHeight="1">
      <c r="A16" s="28"/>
      <c r="C16" s="221" t="s">
        <v>403</v>
      </c>
      <c r="D16" s="238">
        <f>SUM(D13:D15)</f>
        <v>474297</v>
      </c>
      <c r="I16" s="30"/>
    </row>
    <row r="17" spans="1:8" ht="29.1" customHeight="1">
      <c r="A17" s="29">
        <v>7</v>
      </c>
      <c r="C17" s="220" t="s">
        <v>476</v>
      </c>
      <c r="D17" s="460" t="str">
        <f>VLOOKUP(A17,LPCH_ALLO_RELA_PEDS,9,FALSE)</f>
        <v>included in rate</v>
      </c>
    </row>
    <row r="18" spans="1:8" ht="41.45" customHeight="1">
      <c r="A18" s="47"/>
      <c r="D18" s="451" t="s">
        <v>409</v>
      </c>
    </row>
    <row r="19" spans="1:8" s="71" customFormat="1" ht="71.099999999999994" customHeight="1">
      <c r="A19" s="29">
        <v>8</v>
      </c>
      <c r="B19" s="262"/>
      <c r="C19" s="281" t="s">
        <v>478</v>
      </c>
      <c r="D19" s="234">
        <f>VLOOKUP(A19,LPCH_ALLO_RELA_PEDS,9,FALSE)</f>
        <v>1304318</v>
      </c>
      <c r="E19" s="203"/>
      <c r="F19" s="30"/>
      <c r="G19" s="30"/>
      <c r="H19" s="139"/>
    </row>
    <row r="20" spans="1:8" s="71" customFormat="1" ht="40.5" customHeight="1">
      <c r="A20" s="29">
        <v>9</v>
      </c>
      <c r="B20" s="262"/>
      <c r="C20" s="61" t="s">
        <v>411</v>
      </c>
      <c r="D20" s="396">
        <f>VLOOKUP(A20,LPCH_ALLO_RELA_PEDS,9,FALSE)</f>
        <v>0.35</v>
      </c>
      <c r="E20" s="203"/>
      <c r="F20" s="30"/>
      <c r="G20" s="30"/>
      <c r="H20" s="139"/>
    </row>
    <row r="21" spans="1:8" s="71" customFormat="1" ht="18.95" customHeight="1">
      <c r="A21" s="70"/>
      <c r="B21" s="262"/>
      <c r="C21" s="457"/>
      <c r="D21" s="227"/>
      <c r="E21" s="203"/>
      <c r="F21" s="30"/>
      <c r="G21" s="30"/>
      <c r="H21" s="139"/>
    </row>
    <row r="22" spans="1:8" s="71" customFormat="1" ht="43.5" customHeight="1">
      <c r="A22" s="29">
        <v>10</v>
      </c>
      <c r="B22" s="262"/>
      <c r="C22" s="61" t="s">
        <v>481</v>
      </c>
      <c r="D22" s="396">
        <f>VLOOKUP(A22,LPCH_ALLO_RELA_PEDS,9,FALSE)</f>
        <v>0.35</v>
      </c>
      <c r="E22" s="278"/>
      <c r="F22" s="75"/>
      <c r="G22" s="121"/>
      <c r="H22" s="139"/>
    </row>
    <row r="23" spans="1:8" s="30" customFormat="1" ht="18.600000000000001" customHeight="1">
      <c r="A23" s="47"/>
      <c r="B23" s="207"/>
      <c r="C23" s="365"/>
      <c r="D23" s="358"/>
      <c r="E23" s="358"/>
      <c r="F23" s="142"/>
    </row>
    <row r="24" spans="1:8" s="30" customFormat="1" ht="40.5" customHeight="1">
      <c r="A24" s="28"/>
      <c r="B24" s="207"/>
      <c r="C24" s="567" t="s">
        <v>452</v>
      </c>
      <c r="D24" s="568"/>
      <c r="E24" s="568"/>
      <c r="F24" s="569"/>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jJOxAzdoj3hKAqyKfDmkHmGKcIArT3VEJnZKNNoWcfy/+zaeiVw/1PjdKqWy82bbzZqdFRBd92ixHjujfS0x1Q==" saltValue="FZVtniIM1VZbgw27rR/nnQ==" spinCount="100000" sheet="1" objects="1" scenarios="1"/>
  <mergeCells count="5">
    <mergeCell ref="B3:E3"/>
    <mergeCell ref="B4:E4"/>
    <mergeCell ref="B5:E5"/>
    <mergeCell ref="B6:E6"/>
    <mergeCell ref="C24:F24"/>
  </mergeCells>
  <printOptions horizontalCentered="1"/>
  <pageMargins left="0.25" right="0.25" top="0.25" bottom="0.25" header="0.25" footer="0.25"/>
  <pageSetup scale="7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4">
    <tabColor rgb="FFFFC000"/>
    <pageSetUpPr fitToPage="1"/>
  </sheetPr>
  <dimension ref="A1:I35"/>
  <sheetViews>
    <sheetView showGridLines="0" topLeftCell="B2" zoomScale="90" zoomScaleNormal="90" zoomScaleSheetLayoutView="70" workbookViewId="0">
      <selection activeCell="G10" sqref="G10"/>
    </sheetView>
  </sheetViews>
  <sheetFormatPr defaultColWidth="9" defaultRowHeight="12.6"/>
  <cols>
    <col min="1" max="1" width="30.625" style="39" hidden="1" customWidth="1"/>
    <col min="2" max="2" width="6.625" style="207" customWidth="1"/>
    <col min="3" max="3" width="64.375" style="207" customWidth="1"/>
    <col min="4" max="4" width="20" style="207" customWidth="1"/>
    <col min="5" max="5" width="17.5" style="207" customWidth="1"/>
    <col min="6" max="6" width="16.5" style="39" customWidth="1"/>
    <col min="7" max="7" width="14.5" style="39" customWidth="1"/>
    <col min="8" max="8" width="9" style="39" customWidth="1"/>
    <col min="9" max="9" width="11.875" style="39" bestFit="1" customWidth="1"/>
    <col min="10" max="10" width="11.75" style="39" customWidth="1"/>
    <col min="11" max="11" width="15.375" style="39" customWidth="1"/>
    <col min="12"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ht="15.6">
      <c r="A3" s="47"/>
      <c r="B3" s="571" t="s">
        <v>472</v>
      </c>
      <c r="C3" s="571"/>
      <c r="D3" s="571"/>
      <c r="E3" s="571"/>
    </row>
    <row r="4" spans="1:7" ht="15.6">
      <c r="A4" s="47"/>
      <c r="B4" s="571" t="s">
        <v>459</v>
      </c>
      <c r="C4" s="571"/>
      <c r="D4" s="571"/>
      <c r="E4" s="571"/>
    </row>
    <row r="5" spans="1:7" ht="15.6">
      <c r="A5" s="47"/>
      <c r="B5" s="571" t="s">
        <v>473</v>
      </c>
      <c r="C5" s="571"/>
      <c r="D5" s="571"/>
      <c r="E5" s="571"/>
    </row>
    <row r="6" spans="1:7" ht="15.6">
      <c r="A6" s="47"/>
      <c r="B6" s="571" t="s">
        <v>474</v>
      </c>
      <c r="C6" s="571"/>
      <c r="D6" s="571"/>
      <c r="E6" s="571"/>
    </row>
    <row r="7" spans="1:7">
      <c r="A7" s="47"/>
    </row>
    <row r="8" spans="1:7">
      <c r="A8" s="47"/>
    </row>
    <row r="9" spans="1:7" ht="18" customHeight="1">
      <c r="A9" s="47"/>
      <c r="C9" s="208"/>
      <c r="D9" s="202" t="s">
        <v>451</v>
      </c>
      <c r="E9" s="290"/>
      <c r="F9" s="48"/>
      <c r="G9" s="167"/>
    </row>
    <row r="10" spans="1:7" ht="39.6" customHeight="1">
      <c r="A10" s="47"/>
      <c r="C10" s="146" t="s">
        <v>387</v>
      </c>
      <c r="D10" s="332"/>
    </row>
    <row r="11" spans="1:7" ht="53.1" customHeight="1">
      <c r="A11" s="29">
        <v>1</v>
      </c>
      <c r="C11" s="219" t="s">
        <v>482</v>
      </c>
      <c r="D11" s="455">
        <f t="shared" ref="D11:D16" si="0">VLOOKUP(A11,LPCH_ALLO_UNREL_PEDS,9,FALSE)</f>
        <v>0.35</v>
      </c>
      <c r="E11" s="342"/>
    </row>
    <row r="12" spans="1:7" ht="35.1" customHeight="1">
      <c r="A12" s="29">
        <v>2</v>
      </c>
      <c r="C12" s="220" t="s">
        <v>414</v>
      </c>
      <c r="D12" s="456" t="str">
        <f t="shared" si="0"/>
        <v>100% invoice</v>
      </c>
      <c r="E12" s="342"/>
    </row>
    <row r="13" spans="1:7" ht="35.1" customHeight="1">
      <c r="A13" s="29">
        <v>3</v>
      </c>
      <c r="C13" s="219" t="s">
        <v>407</v>
      </c>
      <c r="D13" s="456" t="str">
        <f t="shared" si="0"/>
        <v>100% invoice</v>
      </c>
      <c r="E13" s="342"/>
    </row>
    <row r="14" spans="1:7" ht="35.1" customHeight="1">
      <c r="A14" s="29">
        <v>4</v>
      </c>
      <c r="C14" s="220" t="s">
        <v>391</v>
      </c>
      <c r="D14" s="158">
        <f t="shared" si="0"/>
        <v>180451</v>
      </c>
      <c r="E14" s="342"/>
      <c r="F14" s="40"/>
    </row>
    <row r="15" spans="1:7" ht="46.5" customHeight="1">
      <c r="A15" s="29">
        <v>5</v>
      </c>
      <c r="C15" s="212" t="s">
        <v>392</v>
      </c>
      <c r="D15" s="158">
        <f t="shared" si="0"/>
        <v>240696</v>
      </c>
      <c r="E15" s="342"/>
      <c r="F15" s="40"/>
    </row>
    <row r="16" spans="1:7" ht="38.25" customHeight="1">
      <c r="A16" s="29">
        <v>6</v>
      </c>
      <c r="C16" s="212" t="s">
        <v>393</v>
      </c>
      <c r="D16" s="158">
        <f t="shared" si="0"/>
        <v>53150</v>
      </c>
      <c r="E16" s="342"/>
      <c r="F16" s="40"/>
    </row>
    <row r="17" spans="1:9" ht="48" customHeight="1">
      <c r="A17" s="47"/>
      <c r="C17" s="221" t="s">
        <v>415</v>
      </c>
      <c r="D17" s="238">
        <f>SUM(D14:D16)</f>
        <v>474297</v>
      </c>
      <c r="E17" s="296"/>
      <c r="F17" s="40"/>
      <c r="G17" s="30"/>
    </row>
    <row r="18" spans="1:9" ht="35.1" customHeight="1">
      <c r="A18" s="47"/>
      <c r="D18" s="451" t="s">
        <v>409</v>
      </c>
    </row>
    <row r="19" spans="1:9" s="71" customFormat="1" ht="73.5" customHeight="1">
      <c r="A19" s="29">
        <v>7</v>
      </c>
      <c r="B19" s="262"/>
      <c r="C19" s="281" t="s">
        <v>478</v>
      </c>
      <c r="D19" s="452">
        <f>VLOOKUP(A19,LPCH_ALLO_UNREL_PEDS,9,FALSE)</f>
        <v>1304318</v>
      </c>
      <c r="E19" s="203"/>
      <c r="F19" s="30"/>
      <c r="G19" s="30"/>
      <c r="I19" s="139"/>
    </row>
    <row r="20" spans="1:9" s="71" customFormat="1" ht="39" customHeight="1">
      <c r="A20" s="29">
        <v>8</v>
      </c>
      <c r="B20" s="262"/>
      <c r="C20" s="61" t="s">
        <v>411</v>
      </c>
      <c r="D20" s="396">
        <f>VLOOKUP(A20,LPCH_ALLO_UNREL_PEDS,9,FALSE)</f>
        <v>0.35</v>
      </c>
      <c r="E20" s="203"/>
      <c r="F20" s="30"/>
      <c r="G20" s="30"/>
      <c r="I20" s="139"/>
    </row>
    <row r="21" spans="1:9" s="71" customFormat="1" ht="18" customHeight="1">
      <c r="A21" s="70"/>
      <c r="B21" s="262"/>
      <c r="C21" s="457"/>
      <c r="D21" s="458"/>
      <c r="E21" s="203"/>
      <c r="F21" s="30"/>
      <c r="G21" s="30"/>
      <c r="I21" s="139"/>
    </row>
    <row r="22" spans="1:9" s="71" customFormat="1" ht="52.5" customHeight="1">
      <c r="A22" s="29">
        <v>9</v>
      </c>
      <c r="B22" s="262"/>
      <c r="C22" s="61" t="s">
        <v>481</v>
      </c>
      <c r="D22" s="396">
        <f>VLOOKUP(A22,LPCH_ALLO_UNREL_PEDS,9,FALSE)</f>
        <v>0.35</v>
      </c>
      <c r="E22" s="278"/>
      <c r="F22" s="75"/>
      <c r="G22" s="121"/>
      <c r="I22" s="139"/>
    </row>
    <row r="23" spans="1:9" s="71" customFormat="1" ht="21" customHeight="1">
      <c r="A23" s="70"/>
      <c r="B23" s="262"/>
      <c r="C23" s="278"/>
      <c r="D23" s="140"/>
      <c r="E23" s="459"/>
      <c r="F23" s="141"/>
      <c r="G23" s="141"/>
    </row>
    <row r="24" spans="1:9" ht="66" customHeight="1">
      <c r="A24" s="47"/>
      <c r="C24" s="567" t="s">
        <v>397</v>
      </c>
      <c r="D24" s="568"/>
      <c r="E24" s="568"/>
      <c r="F24" s="568"/>
      <c r="G24" s="569"/>
      <c r="H24" s="48"/>
      <c r="I24" s="48"/>
    </row>
    <row r="25" spans="1:9" s="30" customFormat="1" ht="11.45" customHeight="1">
      <c r="A25" s="28"/>
      <c r="B25" s="207"/>
      <c r="C25" s="218"/>
      <c r="D25" s="207"/>
      <c r="E25" s="207"/>
    </row>
    <row r="26" spans="1:9" ht="36.75" customHeight="1">
      <c r="A26" s="47"/>
      <c r="C26" s="567" t="s">
        <v>452</v>
      </c>
      <c r="D26" s="568"/>
      <c r="E26" s="568"/>
      <c r="F26" s="568"/>
      <c r="G26" s="569"/>
      <c r="H26" s="48"/>
      <c r="I26" s="48"/>
    </row>
    <row r="27" spans="1:9" ht="14.45" customHeight="1">
      <c r="A27" s="47"/>
    </row>
    <row r="28" spans="1:9" ht="36.75" customHeight="1">
      <c r="A28" s="47"/>
      <c r="C28" s="567" t="s">
        <v>398</v>
      </c>
      <c r="D28" s="568"/>
      <c r="E28" s="568"/>
      <c r="F28" s="568"/>
      <c r="G28" s="569"/>
      <c r="H28" s="48"/>
      <c r="I28" s="48"/>
    </row>
    <row r="29" spans="1:9">
      <c r="A29" s="47"/>
    </row>
    <row r="30" spans="1:9">
      <c r="A30" s="47"/>
    </row>
    <row r="31" spans="1:9">
      <c r="A31" s="47"/>
    </row>
    <row r="32" spans="1:9">
      <c r="A32" s="47"/>
    </row>
    <row r="33" spans="1:1">
      <c r="A33" s="47"/>
    </row>
    <row r="34" spans="1:1">
      <c r="A34" s="47"/>
    </row>
    <row r="35" spans="1:1">
      <c r="A35" s="47"/>
    </row>
  </sheetData>
  <sheetProtection algorithmName="SHA-512" hashValue="jz3k18MKRqTrd5v77IMYYdjWQkrZk9ngRRJKAD99kLMWzAAApY3IREFSmFiwcorRb2KUCmyjqYZv/TZv8fjRwA==" saltValue="lIw54EtW6Q1XMBKWcGrz1g==" spinCount="100000" sheet="1" objects="1" scenarios="1"/>
  <mergeCells count="7">
    <mergeCell ref="B3:E3"/>
    <mergeCell ref="B4:E4"/>
    <mergeCell ref="B5:E5"/>
    <mergeCell ref="B6:E6"/>
    <mergeCell ref="C28:G28"/>
    <mergeCell ref="C26:G26"/>
    <mergeCell ref="C24:G24"/>
  </mergeCells>
  <printOptions horizontalCentered="1"/>
  <pageMargins left="0.25" right="0.25" top="0.25" bottom="0.25" header="0.25" footer="0.25"/>
  <pageSetup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5">
    <tabColor rgb="FFFFC000"/>
    <pageSetUpPr fitToPage="1"/>
  </sheetPr>
  <dimension ref="A1:G35"/>
  <sheetViews>
    <sheetView showGridLines="0" topLeftCell="B2" zoomScale="90" zoomScaleNormal="90" zoomScaleSheetLayoutView="70" workbookViewId="0">
      <selection activeCell="F5" sqref="F5"/>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1" t="s">
        <v>472</v>
      </c>
      <c r="C3" s="571"/>
      <c r="D3" s="571"/>
      <c r="E3" s="571"/>
      <c r="F3" s="83"/>
      <c r="G3" s="83"/>
    </row>
    <row r="4" spans="1:7" s="33" customFormat="1" ht="19.899999999999999" customHeight="1">
      <c r="A4" s="31"/>
      <c r="B4" s="571" t="s">
        <v>418</v>
      </c>
      <c r="C4" s="571"/>
      <c r="D4" s="571"/>
      <c r="E4" s="571"/>
    </row>
    <row r="5" spans="1:7" s="33" customFormat="1" ht="19.899999999999999" customHeight="1">
      <c r="A5" s="31"/>
      <c r="B5" s="571" t="s">
        <v>473</v>
      </c>
      <c r="C5" s="571"/>
      <c r="D5" s="571"/>
      <c r="E5" s="571"/>
    </row>
    <row r="6" spans="1:7" s="33" customFormat="1" ht="19.899999999999999" customHeight="1">
      <c r="A6" s="31"/>
      <c r="B6" s="590" t="s">
        <v>474</v>
      </c>
      <c r="C6" s="590"/>
      <c r="D6" s="590"/>
      <c r="E6" s="590"/>
    </row>
    <row r="7" spans="1:7" s="38" customFormat="1" ht="14.1">
      <c r="A7" s="37"/>
      <c r="B7" s="205"/>
      <c r="C7" s="206"/>
      <c r="D7" s="304"/>
      <c r="E7" s="205"/>
    </row>
    <row r="8" spans="1:7" ht="13.5" thickBot="1">
      <c r="A8" s="47"/>
      <c r="C8" s="208"/>
      <c r="D8" s="202" t="s">
        <v>386</v>
      </c>
    </row>
    <row r="9" spans="1:7" ht="35.1" customHeight="1" thickBot="1">
      <c r="A9" s="47"/>
      <c r="C9" s="453" t="s">
        <v>387</v>
      </c>
      <c r="D9" s="453" t="s">
        <v>388</v>
      </c>
      <c r="G9" s="167"/>
    </row>
    <row r="10" spans="1:7" ht="35.1" customHeight="1" thickBot="1">
      <c r="A10" s="29">
        <v>1</v>
      </c>
      <c r="C10" s="454" t="s">
        <v>420</v>
      </c>
      <c r="D10" s="176">
        <f>VLOOKUP(A10,LPCH_TBI_PED,9,FALSE)</f>
        <v>8072</v>
      </c>
    </row>
    <row r="11" spans="1:7" ht="35.1" customHeight="1">
      <c r="A11" s="47"/>
      <c r="C11" s="221" t="s">
        <v>421</v>
      </c>
      <c r="D11" s="368">
        <f>SUM(D10)</f>
        <v>8072</v>
      </c>
    </row>
    <row r="12" spans="1:7">
      <c r="A12" s="47"/>
      <c r="C12" s="207" t="s">
        <v>483</v>
      </c>
      <c r="D12" s="293"/>
    </row>
    <row r="13" spans="1:7" ht="38.25" customHeight="1">
      <c r="A13" s="47"/>
    </row>
    <row r="14" spans="1:7" ht="48" customHeight="1">
      <c r="A14" s="47"/>
    </row>
    <row r="15" spans="1:7" ht="78.75" customHeight="1">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eniboXuOwaTdeUo942A80xBQnugVts3rfFFnwNeS4pDeNGw+oC3w53OPBf4EdbiLGG3gbsatpxAiKuzY9hycLw==" saltValue="IlwL44GTKebX8hEn5CX8Xw==" spinCount="100000" sheet="1" objects="1" scenarios="1"/>
  <mergeCells count="4">
    <mergeCell ref="B3:E3"/>
    <mergeCell ref="B4:E4"/>
    <mergeCell ref="B5:E5"/>
    <mergeCell ref="B6:E6"/>
  </mergeCells>
  <printOptions horizontalCentered="1"/>
  <pageMargins left="0.25" right="0.25" top="0.25" bottom="0.25" header="0.25" footer="0.25"/>
  <pageSetup scale="93"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6">
    <tabColor rgb="FFFFCC00"/>
    <pageSetUpPr fitToPage="1"/>
  </sheetPr>
  <dimension ref="A1:K35"/>
  <sheetViews>
    <sheetView showGridLines="0" topLeftCell="B2" zoomScale="90" zoomScaleNormal="90" workbookViewId="0">
      <selection activeCell="F8" sqref="F8"/>
    </sheetView>
  </sheetViews>
  <sheetFormatPr defaultColWidth="8.875" defaultRowHeight="14.45"/>
  <cols>
    <col min="1" max="1" width="30.625" style="115" hidden="1" customWidth="1"/>
    <col min="2" max="2" width="6.625" style="376" customWidth="1"/>
    <col min="3" max="3" width="60.875" style="376" customWidth="1"/>
    <col min="4" max="4" width="24.5" style="376" customWidth="1"/>
    <col min="5" max="5" width="10" style="376" bestFit="1" customWidth="1"/>
    <col min="6" max="6" width="22" style="115" customWidth="1"/>
    <col min="7" max="7" width="14" style="115" customWidth="1"/>
    <col min="8" max="16384" width="8.875" style="115"/>
  </cols>
  <sheetData>
    <row r="1" spans="1:11" s="496" customFormat="1" ht="20.100000000000001" hidden="1" customHeight="1">
      <c r="A1" s="481" t="e" cm="1">
        <f t="array" aca="1" ref="A1" ca="1">MID(CELL("filename",A1),FIND("]",CELL("filename",A1))+1,255)</f>
        <v>#VALUE!</v>
      </c>
      <c r="B1" s="494"/>
      <c r="C1" s="495">
        <v>3</v>
      </c>
      <c r="D1" s="29">
        <v>4</v>
      </c>
    </row>
    <row r="2" spans="1:11">
      <c r="A2" s="114"/>
    </row>
    <row r="3" spans="1:11" ht="20.100000000000001" customHeight="1">
      <c r="A3" s="114"/>
      <c r="B3" s="594" t="s">
        <v>472</v>
      </c>
      <c r="C3" s="594"/>
      <c r="D3" s="594"/>
      <c r="E3" s="594"/>
      <c r="F3" s="594"/>
      <c r="G3" s="594"/>
      <c r="H3" s="72"/>
      <c r="I3" s="72"/>
      <c r="J3" s="72"/>
      <c r="K3" s="72"/>
    </row>
    <row r="4" spans="1:11" ht="20.100000000000001" customHeight="1">
      <c r="A4" s="114"/>
      <c r="B4" s="594" t="s">
        <v>484</v>
      </c>
      <c r="C4" s="594"/>
      <c r="D4" s="594"/>
      <c r="E4" s="594"/>
      <c r="F4" s="594"/>
      <c r="G4" s="594"/>
      <c r="H4" s="72"/>
      <c r="I4" s="72"/>
      <c r="J4" s="72"/>
      <c r="K4" s="72"/>
    </row>
    <row r="5" spans="1:11" ht="20.100000000000001" customHeight="1">
      <c r="A5" s="114"/>
      <c r="B5" s="594" t="s">
        <v>485</v>
      </c>
      <c r="C5" s="594"/>
      <c r="D5" s="594"/>
      <c r="E5" s="594"/>
      <c r="F5" s="594"/>
      <c r="G5" s="594"/>
      <c r="H5" s="72"/>
      <c r="I5" s="72"/>
      <c r="J5" s="72"/>
      <c r="K5" s="72"/>
    </row>
    <row r="6" spans="1:11" ht="20.100000000000001" customHeight="1">
      <c r="A6" s="114"/>
      <c r="B6" s="590" t="s">
        <v>473</v>
      </c>
      <c r="C6" s="590"/>
      <c r="D6" s="590"/>
      <c r="E6" s="590"/>
      <c r="F6" s="590"/>
      <c r="G6" s="590"/>
      <c r="H6" s="116"/>
      <c r="I6" s="116"/>
      <c r="J6" s="116"/>
      <c r="K6" s="116"/>
    </row>
    <row r="7" spans="1:11" ht="20.100000000000001" customHeight="1">
      <c r="A7" s="114"/>
      <c r="B7" s="594" t="s">
        <v>474</v>
      </c>
      <c r="C7" s="594"/>
      <c r="D7" s="594"/>
      <c r="E7" s="594"/>
      <c r="F7" s="594"/>
      <c r="G7" s="594"/>
      <c r="H7" s="72"/>
      <c r="I7" s="72"/>
      <c r="J7" s="72"/>
      <c r="K7" s="72"/>
    </row>
    <row r="8" spans="1:11">
      <c r="A8" s="114"/>
    </row>
    <row r="9" spans="1:11" ht="18.95" thickBot="1">
      <c r="A9" s="114"/>
      <c r="G9" s="172"/>
    </row>
    <row r="10" spans="1:11" ht="48" customHeight="1">
      <c r="A10" s="114"/>
      <c r="C10" s="377" t="s">
        <v>387</v>
      </c>
      <c r="D10" s="378" t="s">
        <v>486</v>
      </c>
      <c r="E10" s="379"/>
      <c r="F10" s="117"/>
      <c r="G10" s="117"/>
      <c r="H10" s="117"/>
    </row>
    <row r="11" spans="1:11" ht="67.150000000000006" customHeight="1">
      <c r="A11" s="29">
        <v>1</v>
      </c>
      <c r="C11" s="380" t="s">
        <v>475</v>
      </c>
      <c r="D11" s="448" t="str">
        <f>VLOOKUP(A11,LPCH_Living_Liver,9,FALSE)</f>
        <v>35% of billed charges</v>
      </c>
      <c r="E11" s="379"/>
      <c r="F11" s="136"/>
      <c r="G11" s="117"/>
      <c r="H11" s="117"/>
    </row>
    <row r="12" spans="1:11" ht="41.1" customHeight="1">
      <c r="A12" s="29">
        <v>2</v>
      </c>
      <c r="C12" s="382" t="s">
        <v>391</v>
      </c>
      <c r="D12" s="398">
        <f>VLOOKUP(A12,LPCH_Living_Liver,9,FALSE)</f>
        <v>297041</v>
      </c>
      <c r="E12" s="384"/>
      <c r="F12" s="137"/>
      <c r="G12" s="118"/>
      <c r="H12" s="118"/>
    </row>
    <row r="13" spans="1:11" ht="41.1" customHeight="1">
      <c r="A13" s="29">
        <v>3</v>
      </c>
      <c r="C13" s="385" t="s">
        <v>392</v>
      </c>
      <c r="D13" s="398">
        <f>VLOOKUP(A13,LPCH_Living_Liver,9,FALSE)</f>
        <v>240463</v>
      </c>
      <c r="E13" s="384"/>
      <c r="F13" s="137"/>
      <c r="G13" s="118"/>
      <c r="H13" s="118"/>
    </row>
    <row r="14" spans="1:11" ht="41.1" customHeight="1">
      <c r="A14" s="29">
        <v>4</v>
      </c>
      <c r="C14" s="385" t="s">
        <v>487</v>
      </c>
      <c r="D14" s="398">
        <f>VLOOKUP(A14,LPCH_Living_Liver,9,FALSE)</f>
        <v>14143</v>
      </c>
      <c r="E14" s="384"/>
      <c r="F14" s="137"/>
      <c r="G14" s="118"/>
      <c r="H14" s="118"/>
    </row>
    <row r="15" spans="1:11" s="39" customFormat="1" ht="46.5" customHeight="1">
      <c r="A15" s="29">
        <v>5</v>
      </c>
      <c r="B15" s="207"/>
      <c r="C15" s="450" t="s">
        <v>437</v>
      </c>
      <c r="D15" s="398">
        <f>VLOOKUP(A15,LPCH_Living_Liver,9,FALSE)</f>
        <v>20008</v>
      </c>
      <c r="E15" s="211"/>
    </row>
    <row r="16" spans="1:11" ht="38.25" customHeight="1">
      <c r="A16" s="114"/>
      <c r="C16" s="449" t="s">
        <v>488</v>
      </c>
      <c r="D16" s="399">
        <f>SUM(D12:D15)</f>
        <v>571655</v>
      </c>
      <c r="E16" s="388"/>
      <c r="F16" s="138"/>
      <c r="G16" s="118"/>
      <c r="H16" s="118"/>
    </row>
    <row r="17" spans="1:8" ht="32.1" customHeight="1">
      <c r="A17" s="47"/>
      <c r="C17" s="389"/>
      <c r="D17" s="389"/>
      <c r="E17" s="389"/>
      <c r="F17" s="118"/>
      <c r="G17" s="118"/>
      <c r="H17" s="118"/>
    </row>
    <row r="18" spans="1:8" ht="39.6" customHeight="1">
      <c r="A18" s="47"/>
      <c r="C18" s="591" t="s">
        <v>489</v>
      </c>
      <c r="D18" s="592"/>
      <c r="E18" s="592"/>
      <c r="F18" s="592"/>
      <c r="G18" s="593"/>
    </row>
    <row r="19" spans="1:8" ht="46.5" customHeight="1">
      <c r="A19" s="114"/>
      <c r="C19" s="391"/>
      <c r="D19" s="451" t="s">
        <v>409</v>
      </c>
      <c r="E19" s="389"/>
      <c r="F19" s="118"/>
      <c r="G19" s="120"/>
    </row>
    <row r="20" spans="1:8" ht="78.95" customHeight="1">
      <c r="A20" s="29">
        <v>6</v>
      </c>
      <c r="C20" s="393" t="s">
        <v>490</v>
      </c>
      <c r="D20" s="452">
        <f>VLOOKUP(A20,LPCH_Living_Liver,9,FALSE)</f>
        <v>1392227</v>
      </c>
      <c r="E20" s="203"/>
      <c r="F20" s="30"/>
      <c r="G20" s="30"/>
    </row>
    <row r="21" spans="1:8" ht="42.6" customHeight="1">
      <c r="A21" s="29">
        <v>7</v>
      </c>
      <c r="C21" s="395" t="s">
        <v>411</v>
      </c>
      <c r="D21" s="396">
        <f>VLOOKUP(A21,LPCH_Living_Liver,9,FALSE)</f>
        <v>0.35</v>
      </c>
      <c r="E21" s="203"/>
      <c r="F21" s="30"/>
      <c r="G21" s="30"/>
    </row>
    <row r="22" spans="1:8" ht="8.4499999999999993" customHeight="1">
      <c r="A22" s="47"/>
      <c r="C22" s="389"/>
      <c r="D22" s="389"/>
      <c r="E22" s="389"/>
      <c r="F22" s="118"/>
      <c r="G22" s="118"/>
      <c r="H22" s="118"/>
    </row>
    <row r="23" spans="1:8" ht="50.1" customHeight="1">
      <c r="A23" s="29">
        <v>8</v>
      </c>
      <c r="C23" s="61" t="s">
        <v>481</v>
      </c>
      <c r="D23" s="396">
        <f>VLOOKUP(A23,LPCH_Living_Liver,9,FALSE)</f>
        <v>0.35</v>
      </c>
      <c r="E23" s="278"/>
      <c r="F23" s="75"/>
      <c r="G23" s="121"/>
    </row>
    <row r="24" spans="1:8" ht="30.6" customHeight="1">
      <c r="A24" s="29"/>
    </row>
    <row r="25" spans="1:8" ht="36.950000000000003" customHeight="1">
      <c r="A25" s="114"/>
      <c r="C25" s="567" t="s">
        <v>452</v>
      </c>
      <c r="D25" s="568"/>
      <c r="E25" s="568"/>
      <c r="F25" s="568"/>
      <c r="G25" s="569"/>
    </row>
    <row r="26" spans="1:8">
      <c r="A26" s="114"/>
    </row>
    <row r="27" spans="1:8">
      <c r="A27" s="114"/>
    </row>
    <row r="28" spans="1:8">
      <c r="A28" s="114"/>
    </row>
    <row r="29" spans="1:8">
      <c r="A29" s="114"/>
    </row>
    <row r="30" spans="1:8">
      <c r="A30" s="114"/>
    </row>
    <row r="31" spans="1:8">
      <c r="A31" s="114"/>
    </row>
    <row r="32" spans="1:8">
      <c r="A32" s="114"/>
    </row>
    <row r="33" spans="1:1">
      <c r="A33" s="114"/>
    </row>
    <row r="34" spans="1:1">
      <c r="A34" s="114"/>
    </row>
    <row r="35" spans="1:1">
      <c r="A35" s="114"/>
    </row>
  </sheetData>
  <sheetProtection algorithmName="SHA-512" hashValue="OAx1xlm81mFwjbPwsZRngYvtIOzefiTJoWQrlRDAoerMhqAqLnZTUM7EOj7+lTjiuSbu10Yxx3KY0rH5lfRjXw==" saltValue="xNygxRgvaLBHNYH/YBzD4A==" spinCount="100000" sheet="1" objects="1" scenarios="1"/>
  <mergeCells count="7">
    <mergeCell ref="C25:G25"/>
    <mergeCell ref="C18:G18"/>
    <mergeCell ref="B3:G3"/>
    <mergeCell ref="B4:G4"/>
    <mergeCell ref="B5:G5"/>
    <mergeCell ref="B6:G6"/>
    <mergeCell ref="B7:G7"/>
  </mergeCells>
  <printOptions horizontalCentered="1"/>
  <pageMargins left="0.7" right="0.7" top="0.75" bottom="0.75" header="0.3" footer="0.3"/>
  <pageSetup scale="54"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7">
    <tabColor rgb="FFFFCC00"/>
    <pageSetUpPr fitToPage="1"/>
  </sheetPr>
  <dimension ref="A1:K35"/>
  <sheetViews>
    <sheetView showGridLines="0" topLeftCell="B2" zoomScale="90" zoomScaleNormal="90" workbookViewId="0">
      <selection activeCell="B6" sqref="B6:G6"/>
    </sheetView>
  </sheetViews>
  <sheetFormatPr defaultColWidth="8.875" defaultRowHeight="14.45"/>
  <cols>
    <col min="1" max="1" width="30.625" style="115" hidden="1" customWidth="1"/>
    <col min="2" max="2" width="6.625" style="376" customWidth="1"/>
    <col min="3" max="3" width="59.875" style="376" customWidth="1"/>
    <col min="4" max="4" width="24.625" style="376" customWidth="1"/>
    <col min="5" max="5" width="10" style="376" bestFit="1" customWidth="1"/>
    <col min="6" max="6" width="22.25" style="115" customWidth="1"/>
    <col min="7" max="7" width="14.125" style="115" customWidth="1"/>
    <col min="8" max="16384" width="8.875" style="115"/>
  </cols>
  <sheetData>
    <row r="1" spans="1:11" s="496" customFormat="1" ht="20.100000000000001" hidden="1" customHeight="1">
      <c r="A1" s="481" t="e" cm="1">
        <f t="array" aca="1" ref="A1" ca="1">MID(CELL("filename",A1),FIND("]",CELL("filename",A1))+1,255)</f>
        <v>#VALUE!</v>
      </c>
      <c r="B1" s="494"/>
      <c r="C1" s="495">
        <v>3</v>
      </c>
      <c r="D1" s="29">
        <v>4</v>
      </c>
    </row>
    <row r="2" spans="1:11">
      <c r="A2" s="114"/>
    </row>
    <row r="3" spans="1:11" ht="20.100000000000001" customHeight="1">
      <c r="A3" s="114"/>
      <c r="B3" s="594" t="s">
        <v>472</v>
      </c>
      <c r="C3" s="594"/>
      <c r="D3" s="594"/>
      <c r="E3" s="594"/>
      <c r="F3" s="594"/>
      <c r="G3" s="594"/>
      <c r="H3" s="72"/>
      <c r="I3" s="72"/>
      <c r="J3" s="72"/>
      <c r="K3" s="72"/>
    </row>
    <row r="4" spans="1:11" ht="20.100000000000001" customHeight="1">
      <c r="A4" s="114"/>
      <c r="B4" s="594" t="s">
        <v>491</v>
      </c>
      <c r="C4" s="594"/>
      <c r="D4" s="594"/>
      <c r="E4" s="594"/>
      <c r="F4" s="594"/>
      <c r="G4" s="594"/>
      <c r="H4" s="72"/>
      <c r="I4" s="72"/>
      <c r="J4" s="72"/>
      <c r="K4" s="72"/>
    </row>
    <row r="5" spans="1:11" ht="20.100000000000001" customHeight="1">
      <c r="A5" s="114"/>
      <c r="B5" s="594" t="s">
        <v>492</v>
      </c>
      <c r="C5" s="594"/>
      <c r="D5" s="594"/>
      <c r="E5" s="594"/>
      <c r="F5" s="594"/>
      <c r="G5" s="594"/>
      <c r="H5" s="72"/>
      <c r="I5" s="72"/>
      <c r="J5" s="72"/>
      <c r="K5" s="72"/>
    </row>
    <row r="6" spans="1:11" ht="20.100000000000001" customHeight="1">
      <c r="A6" s="114"/>
      <c r="B6" s="590" t="s">
        <v>473</v>
      </c>
      <c r="C6" s="590"/>
      <c r="D6" s="590"/>
      <c r="E6" s="590"/>
      <c r="F6" s="590"/>
      <c r="G6" s="590"/>
      <c r="H6" s="116"/>
      <c r="I6" s="116"/>
      <c r="J6" s="116"/>
      <c r="K6" s="116"/>
    </row>
    <row r="7" spans="1:11" ht="20.100000000000001" customHeight="1">
      <c r="A7" s="114"/>
      <c r="B7" s="594" t="s">
        <v>474</v>
      </c>
      <c r="C7" s="594"/>
      <c r="D7" s="594"/>
      <c r="E7" s="594"/>
      <c r="F7" s="594"/>
      <c r="G7" s="594"/>
      <c r="H7" s="72"/>
      <c r="I7" s="72"/>
      <c r="J7" s="72"/>
      <c r="K7" s="72"/>
    </row>
    <row r="8" spans="1:11">
      <c r="A8" s="114"/>
    </row>
    <row r="9" spans="1:11" ht="18.95" thickBot="1">
      <c r="A9" s="114"/>
      <c r="G9" s="172"/>
    </row>
    <row r="10" spans="1:11" ht="48" customHeight="1">
      <c r="A10" s="114"/>
      <c r="C10" s="377" t="s">
        <v>387</v>
      </c>
      <c r="D10" s="378" t="s">
        <v>486</v>
      </c>
      <c r="E10" s="379"/>
      <c r="F10" s="117"/>
      <c r="G10" s="117"/>
      <c r="H10" s="117"/>
    </row>
    <row r="11" spans="1:11" ht="67.150000000000006" customHeight="1">
      <c r="A11" s="29">
        <v>1</v>
      </c>
      <c r="C11" s="380" t="s">
        <v>475</v>
      </c>
      <c r="D11" s="448" t="str">
        <f>VLOOKUP(A11,LPCH_CAD_Liver,9,FALSE)</f>
        <v>35% of billed charges</v>
      </c>
      <c r="E11" s="379"/>
      <c r="F11" s="136"/>
      <c r="G11" s="117"/>
      <c r="H11" s="117"/>
    </row>
    <row r="12" spans="1:11" ht="41.1" customHeight="1">
      <c r="A12" s="29">
        <v>2</v>
      </c>
      <c r="C12" s="382" t="s">
        <v>391</v>
      </c>
      <c r="D12" s="398">
        <f>VLOOKUP(A12,LPCH_CAD_Liver,9,FALSE)</f>
        <v>297041</v>
      </c>
      <c r="E12" s="384"/>
      <c r="F12" s="137"/>
      <c r="G12" s="118"/>
      <c r="H12" s="118"/>
    </row>
    <row r="13" spans="1:11" ht="41.1" customHeight="1">
      <c r="A13" s="29">
        <v>3</v>
      </c>
      <c r="C13" s="385" t="s">
        <v>392</v>
      </c>
      <c r="D13" s="398">
        <f>VLOOKUP(A13,LPCH_CAD_Liver,9,FALSE)</f>
        <v>240463</v>
      </c>
      <c r="E13" s="384"/>
      <c r="F13" s="137"/>
      <c r="G13" s="118"/>
      <c r="H13" s="118"/>
    </row>
    <row r="14" spans="1:11" ht="41.1" customHeight="1">
      <c r="A14" s="29">
        <v>4</v>
      </c>
      <c r="C14" s="385" t="s">
        <v>487</v>
      </c>
      <c r="D14" s="398">
        <f>VLOOKUP(A14,LPCH_CAD_Liver,9,FALSE)</f>
        <v>14143</v>
      </c>
      <c r="E14" s="384"/>
      <c r="F14" s="137"/>
      <c r="G14" s="118"/>
      <c r="H14" s="118"/>
    </row>
    <row r="15" spans="1:11" ht="49.5" customHeight="1">
      <c r="A15" s="114"/>
      <c r="C15" s="449" t="s">
        <v>488</v>
      </c>
      <c r="D15" s="399">
        <f>SUM(D12:D14)</f>
        <v>551647</v>
      </c>
      <c r="E15" s="388"/>
      <c r="F15" s="138"/>
      <c r="G15" s="118"/>
      <c r="H15" s="118"/>
    </row>
    <row r="16" spans="1:11" ht="18.600000000000001" customHeight="1">
      <c r="A16" s="114"/>
      <c r="C16" s="389"/>
      <c r="D16" s="389"/>
      <c r="E16" s="389"/>
      <c r="F16" s="118"/>
      <c r="G16" s="118"/>
      <c r="H16" s="118"/>
    </row>
    <row r="17" spans="1:7" ht="38.450000000000003" customHeight="1">
      <c r="A17" s="114"/>
      <c r="C17" s="567" t="s">
        <v>489</v>
      </c>
      <c r="D17" s="568"/>
      <c r="E17" s="568"/>
      <c r="F17" s="568"/>
      <c r="G17" s="569"/>
    </row>
    <row r="18" spans="1:7" ht="32.1" customHeight="1">
      <c r="A18" s="114"/>
      <c r="C18" s="440"/>
      <c r="D18" s="441"/>
    </row>
    <row r="19" spans="1:7" ht="14.45" customHeight="1">
      <c r="A19" s="114"/>
      <c r="C19" s="391"/>
      <c r="D19" s="392" t="s">
        <v>409</v>
      </c>
      <c r="E19" s="389"/>
      <c r="F19" s="118"/>
      <c r="G19" s="120"/>
    </row>
    <row r="20" spans="1:7" ht="78.599999999999994" customHeight="1">
      <c r="A20" s="29">
        <v>5</v>
      </c>
      <c r="C20" s="393" t="s">
        <v>490</v>
      </c>
      <c r="D20" s="394">
        <f>VLOOKUP(A20,LPCH_CAD_Liver,9,FALSE)</f>
        <v>1392227</v>
      </c>
      <c r="E20" s="203"/>
      <c r="F20" s="30"/>
      <c r="G20" s="30"/>
    </row>
    <row r="21" spans="1:7" ht="36.950000000000003" customHeight="1">
      <c r="A21" s="29">
        <v>6</v>
      </c>
      <c r="C21" s="395" t="s">
        <v>411</v>
      </c>
      <c r="D21" s="396">
        <f>VLOOKUP(A21,LPCH_CAD_Liver,9,FALSE)</f>
        <v>0.35</v>
      </c>
      <c r="E21" s="203"/>
      <c r="F21" s="30"/>
      <c r="G21" s="30"/>
    </row>
    <row r="22" spans="1:7" ht="13.5" customHeight="1">
      <c r="A22" s="114"/>
      <c r="C22" s="391"/>
      <c r="D22" s="227"/>
      <c r="E22" s="203"/>
      <c r="F22" s="30"/>
      <c r="G22" s="30"/>
    </row>
    <row r="23" spans="1:7" ht="36.6" customHeight="1">
      <c r="A23" s="29">
        <v>7</v>
      </c>
      <c r="C23" s="61" t="s">
        <v>481</v>
      </c>
      <c r="D23" s="396">
        <f>VLOOKUP(A23,LPCH_CAD_Liver,9,FALSE)</f>
        <v>0.35</v>
      </c>
      <c r="E23" s="278"/>
      <c r="F23" s="75"/>
      <c r="G23" s="121"/>
    </row>
    <row r="24" spans="1:7" ht="23.1" customHeight="1">
      <c r="A24" s="114"/>
    </row>
    <row r="25" spans="1:7" ht="36.950000000000003" customHeight="1">
      <c r="A25" s="114"/>
      <c r="C25" s="567" t="s">
        <v>452</v>
      </c>
      <c r="D25" s="568"/>
      <c r="E25" s="568"/>
      <c r="F25" s="568"/>
      <c r="G25" s="569"/>
    </row>
    <row r="26" spans="1:7" ht="12.75" customHeight="1">
      <c r="A26" s="114"/>
    </row>
    <row r="27" spans="1:7">
      <c r="A27" s="114"/>
    </row>
    <row r="28" spans="1:7">
      <c r="A28" s="114"/>
    </row>
    <row r="29" spans="1:7">
      <c r="A29" s="114"/>
    </row>
    <row r="30" spans="1:7">
      <c r="A30" s="114"/>
    </row>
    <row r="31" spans="1:7">
      <c r="A31" s="114"/>
    </row>
    <row r="32" spans="1:7">
      <c r="A32" s="114"/>
    </row>
    <row r="33" spans="1:1">
      <c r="A33" s="114"/>
    </row>
    <row r="34" spans="1:1">
      <c r="A34" s="114"/>
    </row>
    <row r="35" spans="1:1">
      <c r="A35" s="114"/>
    </row>
  </sheetData>
  <sheetProtection algorithmName="SHA-512" hashValue="I+Sd9UMUWaWxs5/3IFtME268aPMEr9OVq1LMjNyDiW+8/ikBRLbZnbI57mhO6Kfh6agOhTmSTiyCf3KDvLsTWA==" saltValue="BF4M7Y3E9QLrDZPpUxyGcg==" spinCount="100000" sheet="1" objects="1" scenarios="1"/>
  <mergeCells count="7">
    <mergeCell ref="C25:G25"/>
    <mergeCell ref="B3:G3"/>
    <mergeCell ref="B4:G4"/>
    <mergeCell ref="B5:G5"/>
    <mergeCell ref="B6:G6"/>
    <mergeCell ref="B7:G7"/>
    <mergeCell ref="C17:G17"/>
  </mergeCells>
  <printOptions horizontalCentered="1"/>
  <pageMargins left="0.7" right="0.7" top="0.75" bottom="0.75" header="0.3" footer="0.3"/>
  <pageSetup scale="5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8">
    <tabColor rgb="FFFFCC00"/>
    <pageSetUpPr fitToPage="1"/>
  </sheetPr>
  <dimension ref="A1:K35"/>
  <sheetViews>
    <sheetView showGridLines="0" topLeftCell="B2" zoomScale="90" zoomScaleNormal="90" workbookViewId="0">
      <selection activeCell="G9" sqref="G9"/>
    </sheetView>
  </sheetViews>
  <sheetFormatPr defaultColWidth="8.875" defaultRowHeight="14.45"/>
  <cols>
    <col min="1" max="1" width="30.625" style="115" hidden="1" customWidth="1"/>
    <col min="2" max="2" width="6.625" style="376" customWidth="1"/>
    <col min="3" max="3" width="63.625" style="376" customWidth="1"/>
    <col min="4" max="4" width="22.625" style="376" customWidth="1"/>
    <col min="5" max="5" width="31.5" style="376" customWidth="1"/>
    <col min="6" max="6" width="2.875" style="115" customWidth="1"/>
    <col min="7" max="7" width="12.625" style="115" customWidth="1"/>
    <col min="8" max="16384" width="8.875" style="115"/>
  </cols>
  <sheetData>
    <row r="1" spans="1:11" s="496" customFormat="1" ht="20.100000000000001" hidden="1" customHeight="1">
      <c r="A1" s="481" t="e" cm="1">
        <f t="array" aca="1" ref="A1" ca="1">MID(CELL("filename",A1),FIND("]",CELL("filename",A1))+1,255)</f>
        <v>#VALUE!</v>
      </c>
      <c r="B1" s="494"/>
      <c r="C1" s="495">
        <v>3</v>
      </c>
      <c r="D1" s="29">
        <v>4</v>
      </c>
    </row>
    <row r="2" spans="1:11">
      <c r="A2" s="114"/>
    </row>
    <row r="3" spans="1:11" ht="20.100000000000001" customHeight="1">
      <c r="A3" s="114"/>
      <c r="B3" s="571" t="s">
        <v>472</v>
      </c>
      <c r="C3" s="571"/>
      <c r="D3" s="571"/>
      <c r="E3" s="571"/>
      <c r="F3" s="72"/>
      <c r="G3" s="72"/>
      <c r="H3" s="72"/>
      <c r="I3" s="72"/>
      <c r="J3" s="72"/>
      <c r="K3" s="72"/>
    </row>
    <row r="4" spans="1:11" ht="20.100000000000001" customHeight="1">
      <c r="A4" s="114"/>
      <c r="B4" s="590" t="s">
        <v>493</v>
      </c>
      <c r="C4" s="590"/>
      <c r="D4" s="590"/>
      <c r="E4" s="590"/>
      <c r="F4" s="72"/>
      <c r="G4" s="72"/>
      <c r="H4" s="72"/>
      <c r="I4" s="72"/>
      <c r="J4" s="72"/>
      <c r="K4" s="72"/>
    </row>
    <row r="5" spans="1:11" ht="20.100000000000001" customHeight="1">
      <c r="A5" s="114"/>
      <c r="B5" s="590" t="s">
        <v>473</v>
      </c>
      <c r="C5" s="590"/>
      <c r="D5" s="590"/>
      <c r="E5" s="590"/>
      <c r="F5" s="116"/>
      <c r="G5" s="116"/>
      <c r="H5" s="116"/>
      <c r="I5" s="116"/>
      <c r="J5" s="116"/>
      <c r="K5" s="116"/>
    </row>
    <row r="6" spans="1:11" ht="20.100000000000001" customHeight="1">
      <c r="A6" s="114"/>
      <c r="B6" s="590" t="s">
        <v>474</v>
      </c>
      <c r="C6" s="590"/>
      <c r="D6" s="590"/>
      <c r="E6" s="590"/>
      <c r="F6" s="72"/>
      <c r="G6" s="72"/>
      <c r="H6" s="72"/>
      <c r="I6" s="72"/>
      <c r="J6" s="72"/>
      <c r="K6" s="72"/>
    </row>
    <row r="7" spans="1:11">
      <c r="A7" s="114"/>
    </row>
    <row r="8" spans="1:11" ht="15" thickBot="1">
      <c r="A8" s="114"/>
    </row>
    <row r="9" spans="1:11" ht="41.1" customHeight="1">
      <c r="A9" s="114"/>
      <c r="C9" s="377" t="s">
        <v>387</v>
      </c>
      <c r="D9" s="397" t="s">
        <v>486</v>
      </c>
      <c r="E9" s="379"/>
      <c r="F9" s="117"/>
      <c r="G9" s="172"/>
      <c r="H9" s="117"/>
    </row>
    <row r="10" spans="1:11" ht="41.1" customHeight="1">
      <c r="A10" s="29">
        <v>1</v>
      </c>
      <c r="C10" s="380" t="s">
        <v>475</v>
      </c>
      <c r="D10" s="177" t="str">
        <f>VLOOKUP(A10,LPCH_SingleDouble_Lung,9,FALSE)</f>
        <v>35% of billed charges</v>
      </c>
      <c r="E10" s="379"/>
      <c r="F10" s="117"/>
      <c r="G10" s="117"/>
      <c r="H10" s="117"/>
    </row>
    <row r="11" spans="1:11" ht="41.1" customHeight="1">
      <c r="A11" s="29">
        <v>2</v>
      </c>
      <c r="C11" s="382" t="s">
        <v>391</v>
      </c>
      <c r="D11" s="398">
        <f>VLOOKUP(A11,LPCH_SingleDouble_Lung,9,FALSE)</f>
        <v>353620</v>
      </c>
      <c r="E11" s="384"/>
      <c r="F11" s="118"/>
      <c r="G11" s="118"/>
      <c r="H11" s="118"/>
    </row>
    <row r="12" spans="1:11" ht="41.1" customHeight="1">
      <c r="A12" s="29">
        <v>3</v>
      </c>
      <c r="C12" s="385" t="s">
        <v>392</v>
      </c>
      <c r="D12" s="398">
        <f>VLOOKUP(A12,LPCH_SingleDouble_Lung,9,FALSE)</f>
        <v>141448</v>
      </c>
      <c r="E12" s="384"/>
      <c r="F12" s="118"/>
      <c r="G12" s="118"/>
      <c r="H12" s="118"/>
    </row>
    <row r="13" spans="1:11" ht="41.1" customHeight="1">
      <c r="A13" s="29">
        <v>4</v>
      </c>
      <c r="C13" s="385" t="s">
        <v>487</v>
      </c>
      <c r="D13" s="398">
        <f>VLOOKUP(A13,LPCH_SingleDouble_Lung,9,FALSE)</f>
        <v>70723</v>
      </c>
      <c r="E13" s="384"/>
      <c r="F13" s="118"/>
      <c r="G13" s="118"/>
      <c r="H13" s="118"/>
    </row>
    <row r="14" spans="1:11" ht="45.6" customHeight="1">
      <c r="A14" s="114"/>
      <c r="C14" s="386" t="s">
        <v>494</v>
      </c>
      <c r="D14" s="399">
        <f>SUM(D11:D13)</f>
        <v>565791</v>
      </c>
      <c r="E14" s="388"/>
      <c r="F14" s="118"/>
      <c r="G14" s="118"/>
      <c r="H14" s="118"/>
    </row>
    <row r="15" spans="1:11" ht="9.6" customHeight="1">
      <c r="A15" s="114"/>
      <c r="C15" s="389"/>
      <c r="D15" s="447"/>
      <c r="E15" s="389"/>
      <c r="F15" s="118"/>
      <c r="G15" s="118"/>
      <c r="H15" s="118"/>
    </row>
    <row r="16" spans="1:11" ht="38.25" customHeight="1">
      <c r="A16" s="114"/>
      <c r="C16" s="595" t="s">
        <v>489</v>
      </c>
      <c r="D16" s="596"/>
      <c r="E16" s="597"/>
      <c r="F16" s="118"/>
      <c r="G16" s="118"/>
      <c r="H16" s="118"/>
    </row>
    <row r="17" spans="1:9" ht="27.6" customHeight="1">
      <c r="A17" s="114"/>
      <c r="C17" s="440"/>
      <c r="D17" s="441"/>
    </row>
    <row r="18" spans="1:9" ht="14.45" customHeight="1">
      <c r="A18" s="114"/>
      <c r="C18" s="391"/>
      <c r="D18" s="392" t="s">
        <v>409</v>
      </c>
      <c r="E18" s="389"/>
      <c r="F18" s="118"/>
      <c r="G18" s="120"/>
    </row>
    <row r="19" spans="1:9" ht="59.45" customHeight="1">
      <c r="A19" s="29">
        <v>5</v>
      </c>
      <c r="C19" s="393" t="s">
        <v>495</v>
      </c>
      <c r="D19" s="394">
        <f>VLOOKUP(A19,LPCH_SingleDouble_Lung,9,FALSE)</f>
        <v>1427926</v>
      </c>
      <c r="E19" s="203"/>
      <c r="F19" s="30"/>
      <c r="G19" s="30"/>
      <c r="H19" s="30"/>
      <c r="I19" s="30"/>
    </row>
    <row r="20" spans="1:9" ht="39.950000000000003" customHeight="1">
      <c r="A20" s="29">
        <v>6</v>
      </c>
      <c r="C20" s="395" t="s">
        <v>411</v>
      </c>
      <c r="D20" s="396">
        <f>VLOOKUP(A20,LPCH_SingleDouble_Lung,9,FALSE)</f>
        <v>0.35</v>
      </c>
      <c r="E20" s="203"/>
      <c r="F20" s="30"/>
      <c r="G20" s="30"/>
      <c r="H20" s="30"/>
      <c r="I20" s="30"/>
    </row>
    <row r="21" spans="1:9" ht="14.45" customHeight="1">
      <c r="A21" s="114"/>
      <c r="C21" s="440"/>
      <c r="D21" s="441"/>
    </row>
    <row r="22" spans="1:9" ht="35.450000000000003" customHeight="1">
      <c r="A22" s="29">
        <v>7</v>
      </c>
      <c r="C22" s="61" t="s">
        <v>481</v>
      </c>
      <c r="D22" s="396">
        <f>VLOOKUP(A22,LPCH_SingleDouble_Lung,9,FALSE)</f>
        <v>0.35</v>
      </c>
      <c r="E22" s="278"/>
      <c r="F22" s="75"/>
      <c r="G22" s="121"/>
    </row>
    <row r="23" spans="1:9" ht="22.5" customHeight="1">
      <c r="A23" s="114"/>
    </row>
    <row r="24" spans="1:9" s="30" customFormat="1" ht="38.450000000000003" customHeight="1">
      <c r="A24" s="28"/>
      <c r="B24" s="207"/>
      <c r="C24" s="581" t="s">
        <v>452</v>
      </c>
      <c r="D24" s="582"/>
      <c r="E24" s="583"/>
    </row>
    <row r="25" spans="1:9">
      <c r="A25" s="114"/>
    </row>
    <row r="26" spans="1:9">
      <c r="A26" s="114"/>
    </row>
    <row r="27" spans="1:9">
      <c r="A27" s="114"/>
    </row>
    <row r="28" spans="1:9">
      <c r="A28" s="114"/>
    </row>
    <row r="29" spans="1:9">
      <c r="A29" s="114"/>
    </row>
    <row r="30" spans="1:9">
      <c r="A30" s="114"/>
    </row>
    <row r="31" spans="1:9">
      <c r="A31" s="114"/>
    </row>
    <row r="32" spans="1:9">
      <c r="A32" s="114"/>
    </row>
    <row r="33" spans="1:1">
      <c r="A33" s="114"/>
    </row>
    <row r="34" spans="1:1">
      <c r="A34" s="114"/>
    </row>
    <row r="35" spans="1:1">
      <c r="A35" s="114"/>
    </row>
  </sheetData>
  <sheetProtection algorithmName="SHA-512" hashValue="JxMOmUtg052qrKGHVEAhmpMUC8svfTljNu+1ZMmSKn38CJ8X4sBnZ/LgKpvXj69WEEVcoOMfhdk4qSDwyhHd+w==" saltValue="+iN2cI6hkF8hy4siGgmjXg==" spinCount="100000" sheet="1" objects="1" scenarios="1"/>
  <mergeCells count="6">
    <mergeCell ref="C24:E24"/>
    <mergeCell ref="B3:E3"/>
    <mergeCell ref="B4:E4"/>
    <mergeCell ref="B5:E5"/>
    <mergeCell ref="B6:E6"/>
    <mergeCell ref="C16:E16"/>
  </mergeCells>
  <printOptions horizontalCentered="1"/>
  <pageMargins left="0.7" right="0.7" top="0.75" bottom="0.75" header="0.3" footer="0.3"/>
  <pageSetup scale="63"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97F1-ED3B-4A9E-B00E-8ED2980D0A13}">
  <sheetPr codeName="Sheet59">
    <tabColor rgb="FFFFCC00"/>
    <pageSetUpPr fitToPage="1"/>
  </sheetPr>
  <dimension ref="A1:L35"/>
  <sheetViews>
    <sheetView showGridLines="0" topLeftCell="B2" zoomScale="90" zoomScaleNormal="90" zoomScaleSheetLayoutView="80" workbookViewId="0">
      <selection activeCell="G9" sqref="G9"/>
    </sheetView>
  </sheetViews>
  <sheetFormatPr defaultColWidth="8.875" defaultRowHeight="14.45"/>
  <cols>
    <col min="1" max="1" width="30.625" style="129" hidden="1" customWidth="1"/>
    <col min="2" max="2" width="6.625" style="428" customWidth="1"/>
    <col min="3" max="3" width="68.75" style="428" customWidth="1"/>
    <col min="4" max="4" width="21.5" style="428" customWidth="1"/>
    <col min="5" max="5" width="15.25" style="428" customWidth="1"/>
    <col min="6" max="7" width="12.375" style="129" customWidth="1"/>
    <col min="8" max="8" width="8.25" style="129" customWidth="1"/>
    <col min="9" max="9" width="18.375" style="129" customWidth="1"/>
    <col min="10" max="10" width="23.125" style="129" customWidth="1"/>
    <col min="11" max="16384" width="8.875" style="129"/>
  </cols>
  <sheetData>
    <row r="1" spans="1:12" s="502" customFormat="1" ht="20.100000000000001" hidden="1" customHeight="1">
      <c r="A1" s="481" t="e" cm="1">
        <f t="array" aca="1" ref="A1" ca="1">MID(CELL("filename",A1),FIND("]",CELL("filename",A1))+1,255)</f>
        <v>#VALUE!</v>
      </c>
      <c r="B1" s="500"/>
      <c r="C1" s="501">
        <v>3</v>
      </c>
      <c r="D1" s="29">
        <v>4</v>
      </c>
    </row>
    <row r="2" spans="1:12">
      <c r="A2" s="130"/>
    </row>
    <row r="3" spans="1:12" ht="20.100000000000001" customHeight="1">
      <c r="A3" s="130"/>
      <c r="B3" s="594" t="s">
        <v>472</v>
      </c>
      <c r="C3" s="594"/>
      <c r="D3" s="594"/>
      <c r="E3" s="594"/>
      <c r="F3" s="594"/>
      <c r="G3" s="594"/>
      <c r="H3" s="594"/>
      <c r="I3" s="72"/>
      <c r="J3" s="72"/>
      <c r="K3" s="72"/>
      <c r="L3" s="72"/>
    </row>
    <row r="4" spans="1:12" ht="20.100000000000001" customHeight="1">
      <c r="A4" s="130"/>
      <c r="B4" s="594" t="s">
        <v>496</v>
      </c>
      <c r="C4" s="594"/>
      <c r="D4" s="594"/>
      <c r="E4" s="594"/>
      <c r="F4" s="594"/>
      <c r="G4" s="594"/>
      <c r="H4" s="594"/>
      <c r="I4" s="72"/>
      <c r="J4" s="72"/>
      <c r="K4" s="72"/>
      <c r="L4" s="72"/>
    </row>
    <row r="5" spans="1:12" ht="20.100000000000001" customHeight="1">
      <c r="A5" s="130"/>
      <c r="B5" s="590" t="s">
        <v>473</v>
      </c>
      <c r="C5" s="590"/>
      <c r="D5" s="590"/>
      <c r="E5" s="590"/>
      <c r="F5" s="590"/>
      <c r="G5" s="590"/>
      <c r="H5" s="590"/>
      <c r="I5" s="116"/>
      <c r="J5" s="116"/>
      <c r="K5" s="116"/>
      <c r="L5" s="116"/>
    </row>
    <row r="6" spans="1:12" ht="20.100000000000001" customHeight="1">
      <c r="A6" s="130"/>
      <c r="B6" s="594" t="s">
        <v>474</v>
      </c>
      <c r="C6" s="594"/>
      <c r="D6" s="594"/>
      <c r="E6" s="594"/>
      <c r="F6" s="594"/>
      <c r="G6" s="594"/>
      <c r="H6" s="594"/>
      <c r="I6" s="72"/>
      <c r="J6" s="72"/>
      <c r="K6" s="72"/>
      <c r="L6" s="72"/>
    </row>
    <row r="7" spans="1:12" ht="20.100000000000001" customHeight="1">
      <c r="A7" s="130"/>
    </row>
    <row r="8" spans="1:12" ht="41.1" customHeight="1">
      <c r="A8" s="130"/>
      <c r="C8" s="429" t="s">
        <v>387</v>
      </c>
      <c r="D8" s="430" t="s">
        <v>486</v>
      </c>
      <c r="E8" s="431"/>
      <c r="F8" s="131"/>
      <c r="G8" s="131"/>
      <c r="H8" s="131"/>
      <c r="I8" s="131" t="s">
        <v>497</v>
      </c>
    </row>
    <row r="9" spans="1:12" ht="53.45" customHeight="1">
      <c r="A9" s="29">
        <v>1</v>
      </c>
      <c r="C9" s="432" t="s">
        <v>475</v>
      </c>
      <c r="D9" s="433" t="str">
        <f>VLOOKUP(A9,LPCH_Heart,9,FALSE)</f>
        <v>35% of billed charges</v>
      </c>
      <c r="E9" s="431"/>
      <c r="F9" s="131"/>
      <c r="G9" s="174"/>
      <c r="H9" s="131"/>
      <c r="I9" s="132"/>
    </row>
    <row r="10" spans="1:12" ht="41.1" customHeight="1">
      <c r="A10" s="29">
        <v>2</v>
      </c>
      <c r="C10" s="434" t="s">
        <v>391</v>
      </c>
      <c r="D10" s="178">
        <f>VLOOKUP(A10,LPCH_Heart,9,FALSE)</f>
        <v>272865</v>
      </c>
      <c r="E10" s="435"/>
      <c r="F10" s="133"/>
      <c r="G10" s="133"/>
      <c r="H10" s="133"/>
      <c r="I10" s="134"/>
    </row>
    <row r="11" spans="1:12" ht="41.1" customHeight="1">
      <c r="A11" s="29">
        <v>3</v>
      </c>
      <c r="C11" s="436" t="s">
        <v>392</v>
      </c>
      <c r="D11" s="178">
        <f>VLOOKUP(A11,LPCH_Heart,9,FALSE)</f>
        <v>156908</v>
      </c>
      <c r="E11" s="435"/>
      <c r="F11" s="133"/>
      <c r="G11" s="133"/>
      <c r="H11" s="133"/>
      <c r="I11" s="134"/>
    </row>
    <row r="12" spans="1:12" ht="41.1" customHeight="1">
      <c r="A12" s="29">
        <v>4</v>
      </c>
      <c r="C12" s="436" t="s">
        <v>487</v>
      </c>
      <c r="D12" s="178">
        <f>VLOOKUP(A12,LPCH_Heart,9,FALSE)</f>
        <v>59775</v>
      </c>
      <c r="E12" s="435"/>
      <c r="F12" s="133"/>
      <c r="G12" s="133"/>
      <c r="H12" s="133"/>
      <c r="I12" s="134"/>
    </row>
    <row r="13" spans="1:12" ht="35.1" customHeight="1">
      <c r="A13" s="114"/>
      <c r="C13" s="437" t="s">
        <v>426</v>
      </c>
      <c r="D13" s="438">
        <f>SUM(D10:D12)</f>
        <v>489548</v>
      </c>
      <c r="E13" s="439"/>
      <c r="F13" s="133"/>
      <c r="G13" s="133"/>
      <c r="H13" s="133"/>
      <c r="I13" s="134"/>
    </row>
    <row r="14" spans="1:12">
      <c r="A14" s="114"/>
      <c r="C14" s="439"/>
      <c r="D14" s="439"/>
      <c r="E14" s="439"/>
      <c r="F14" s="133"/>
      <c r="G14" s="133"/>
      <c r="H14" s="133"/>
      <c r="I14" s="133"/>
    </row>
    <row r="15" spans="1:12" s="126" customFormat="1" ht="46.5" customHeight="1">
      <c r="A15" s="114"/>
      <c r="B15" s="272"/>
      <c r="C15" s="601" t="s">
        <v>452</v>
      </c>
      <c r="D15" s="602"/>
      <c r="E15" s="603"/>
      <c r="F15" s="135"/>
      <c r="G15" s="128"/>
      <c r="H15" s="128"/>
    </row>
    <row r="16" spans="1:12" s="115" customFormat="1" ht="24.6" customHeight="1">
      <c r="A16" s="114"/>
      <c r="B16" s="376"/>
      <c r="C16" s="440"/>
      <c r="D16" s="441"/>
      <c r="E16" s="376"/>
    </row>
    <row r="17" spans="1:10" s="115" customFormat="1" ht="12.95" customHeight="1">
      <c r="A17" s="114"/>
      <c r="B17" s="376"/>
      <c r="C17" s="391"/>
      <c r="D17" s="392" t="s">
        <v>409</v>
      </c>
      <c r="E17" s="389"/>
      <c r="F17" s="118"/>
      <c r="G17" s="118"/>
      <c r="H17" s="120"/>
    </row>
    <row r="18" spans="1:10" ht="63.6" customHeight="1">
      <c r="A18" s="29">
        <v>5</v>
      </c>
      <c r="C18" s="442" t="s">
        <v>498</v>
      </c>
      <c r="D18" s="443">
        <f>VLOOKUP(A18,LPCH_Heart,9,FALSE)</f>
        <v>1235492</v>
      </c>
      <c r="E18" s="203"/>
      <c r="F18" s="30"/>
      <c r="G18" s="30"/>
      <c r="H18" s="30"/>
      <c r="I18" s="30"/>
    </row>
    <row r="19" spans="1:10" ht="41.45" customHeight="1">
      <c r="A19" s="29">
        <v>6</v>
      </c>
      <c r="C19" s="395" t="s">
        <v>411</v>
      </c>
      <c r="D19" s="396">
        <f>VLOOKUP(A19,LPCH_Heart,9,FALSE)</f>
        <v>0.35</v>
      </c>
      <c r="E19" s="203"/>
      <c r="F19" s="30"/>
      <c r="G19" s="30"/>
      <c r="H19" s="30"/>
      <c r="I19" s="30"/>
    </row>
    <row r="20" spans="1:10" ht="17.45" customHeight="1">
      <c r="A20" s="29"/>
      <c r="C20" s="444"/>
      <c r="D20" s="445"/>
      <c r="E20" s="203"/>
      <c r="F20" s="30"/>
      <c r="G20" s="30"/>
      <c r="H20" s="30"/>
      <c r="I20" s="30"/>
    </row>
    <row r="21" spans="1:10" ht="50.45" customHeight="1">
      <c r="A21" s="29">
        <v>7</v>
      </c>
      <c r="C21" s="61" t="s">
        <v>481</v>
      </c>
      <c r="D21" s="396">
        <f>VLOOKUP(A21,LPCH_Heart,9,FALSE)</f>
        <v>0.35</v>
      </c>
      <c r="E21" s="278"/>
      <c r="F21" s="75"/>
      <c r="G21" s="75"/>
      <c r="H21" s="121"/>
    </row>
    <row r="22" spans="1:10" s="127" customFormat="1" ht="18" customHeight="1">
      <c r="A22" s="114"/>
      <c r="B22" s="272"/>
      <c r="C22" s="272"/>
      <c r="D22" s="446"/>
      <c r="E22" s="272"/>
      <c r="F22" s="73"/>
      <c r="G22" s="73"/>
      <c r="H22" s="73"/>
      <c r="I22" s="73"/>
      <c r="J22" s="73"/>
    </row>
    <row r="23" spans="1:10" s="39" customFormat="1" ht="69.599999999999994" customHeight="1">
      <c r="A23" s="29"/>
      <c r="B23" s="207"/>
      <c r="C23" s="598" t="s">
        <v>429</v>
      </c>
      <c r="D23" s="599"/>
      <c r="E23" s="599"/>
      <c r="F23" s="599"/>
      <c r="G23" s="599"/>
      <c r="H23" s="600"/>
      <c r="I23" s="46"/>
      <c r="J23" s="46"/>
    </row>
    <row r="24" spans="1:10">
      <c r="A24" s="130"/>
    </row>
    <row r="25" spans="1:10">
      <c r="A25" s="130"/>
    </row>
    <row r="26" spans="1:10">
      <c r="A26" s="130"/>
    </row>
    <row r="27" spans="1:10">
      <c r="A27" s="130"/>
    </row>
    <row r="28" spans="1:10">
      <c r="A28" s="130"/>
    </row>
    <row r="29" spans="1:10">
      <c r="A29" s="130"/>
    </row>
    <row r="30" spans="1:10">
      <c r="A30" s="130"/>
    </row>
    <row r="31" spans="1:10">
      <c r="A31" s="130"/>
    </row>
    <row r="32" spans="1:10">
      <c r="A32" s="130"/>
    </row>
    <row r="33" spans="1:1">
      <c r="A33" s="130"/>
    </row>
    <row r="34" spans="1:1">
      <c r="A34" s="130"/>
    </row>
    <row r="35" spans="1:1">
      <c r="A35" s="130"/>
    </row>
  </sheetData>
  <sheetProtection algorithmName="SHA-512" hashValue="w8QBQC4qir2gCT5sfvrDI8pMuwHoyJWebCN8S4mmPp+x9UsdqmzRSyI+E/x19oHl/+Jhh/+I6AUuSZtqkQbGKg==" saltValue="b+gI2bYVRl14djmnDNf9tw==" spinCount="100000" sheet="1" objects="1" scenarios="1"/>
  <mergeCells count="6">
    <mergeCell ref="C23:H23"/>
    <mergeCell ref="C15:E15"/>
    <mergeCell ref="B3:H3"/>
    <mergeCell ref="B4:H4"/>
    <mergeCell ref="B5:H5"/>
    <mergeCell ref="B6:H6"/>
  </mergeCells>
  <printOptions horizontalCentered="1"/>
  <pageMargins left="0.7" right="0.7" top="0.75" bottom="0.75" header="0.3" footer="0.3"/>
  <pageSetup scale="56"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0">
    <tabColor rgb="FFFFCC00"/>
    <pageSetUpPr fitToPage="1"/>
  </sheetPr>
  <dimension ref="A1:K35"/>
  <sheetViews>
    <sheetView showGridLines="0" topLeftCell="B2" zoomScale="90" zoomScaleNormal="90" zoomScaleSheetLayoutView="80" workbookViewId="0">
      <selection activeCell="F9" sqref="F9"/>
    </sheetView>
  </sheetViews>
  <sheetFormatPr defaultColWidth="8.875" defaultRowHeight="14.45"/>
  <cols>
    <col min="1" max="1" width="30.625" style="115" hidden="1" customWidth="1"/>
    <col min="2" max="2" width="6.625" style="376" customWidth="1"/>
    <col min="3" max="3" width="59.375" style="376" customWidth="1"/>
    <col min="4" max="4" width="21.5" style="376" customWidth="1"/>
    <col min="5" max="5" width="8.875" style="376"/>
    <col min="6" max="6" width="23" style="115" customWidth="1"/>
    <col min="7" max="7" width="14.625" style="115" customWidth="1"/>
    <col min="8" max="8" width="9" style="115" customWidth="1"/>
    <col min="9" max="9" width="3.5" style="115" customWidth="1"/>
    <col min="10" max="16384" width="8.875" style="115"/>
  </cols>
  <sheetData>
    <row r="1" spans="1:11" s="496" customFormat="1" ht="20.100000000000001" hidden="1" customHeight="1">
      <c r="A1" s="481" t="e" cm="1">
        <f t="array" aca="1" ref="A1" ca="1">MID(CELL("filename",A1),FIND("]",CELL("filename",A1))+1,255)</f>
        <v>#VALUE!</v>
      </c>
      <c r="B1" s="494"/>
      <c r="C1" s="495">
        <v>3</v>
      </c>
      <c r="D1" s="29">
        <v>4</v>
      </c>
    </row>
    <row r="2" spans="1:11">
      <c r="A2" s="114"/>
    </row>
    <row r="3" spans="1:11" ht="20.100000000000001" customHeight="1">
      <c r="A3" s="114"/>
      <c r="B3" s="594" t="s">
        <v>472</v>
      </c>
      <c r="C3" s="594"/>
      <c r="D3" s="594"/>
      <c r="E3" s="594"/>
      <c r="F3" s="594"/>
      <c r="G3" s="594"/>
      <c r="H3" s="72"/>
      <c r="I3" s="72"/>
      <c r="J3" s="72"/>
      <c r="K3" s="72"/>
    </row>
    <row r="4" spans="1:11" ht="20.100000000000001" customHeight="1">
      <c r="A4" s="114"/>
      <c r="B4" s="594" t="s">
        <v>499</v>
      </c>
      <c r="C4" s="594"/>
      <c r="D4" s="594"/>
      <c r="E4" s="594"/>
      <c r="F4" s="594"/>
      <c r="G4" s="594"/>
      <c r="H4" s="72"/>
      <c r="I4" s="72"/>
      <c r="J4" s="72"/>
      <c r="K4" s="72"/>
    </row>
    <row r="5" spans="1:11" ht="20.100000000000001" customHeight="1">
      <c r="A5" s="114"/>
      <c r="B5" s="590" t="s">
        <v>473</v>
      </c>
      <c r="C5" s="590"/>
      <c r="D5" s="590"/>
      <c r="E5" s="590"/>
      <c r="F5" s="590"/>
      <c r="G5" s="590"/>
      <c r="H5" s="116"/>
      <c r="I5" s="116"/>
      <c r="J5" s="116"/>
      <c r="K5" s="116"/>
    </row>
    <row r="6" spans="1:11" ht="20.100000000000001" customHeight="1">
      <c r="A6" s="114"/>
      <c r="B6" s="594" t="s">
        <v>474</v>
      </c>
      <c r="C6" s="594"/>
      <c r="D6" s="594"/>
      <c r="E6" s="594"/>
      <c r="F6" s="594"/>
      <c r="G6" s="594"/>
      <c r="H6" s="72"/>
      <c r="I6" s="72"/>
      <c r="J6" s="72"/>
      <c r="K6" s="72"/>
    </row>
    <row r="7" spans="1:11">
      <c r="A7" s="114"/>
    </row>
    <row r="8" spans="1:11" ht="41.1" customHeight="1">
      <c r="A8" s="114"/>
      <c r="C8" s="420" t="s">
        <v>387</v>
      </c>
      <c r="D8" s="421" t="s">
        <v>486</v>
      </c>
      <c r="E8" s="379"/>
      <c r="F8" s="117"/>
      <c r="G8" s="117"/>
      <c r="H8" s="117" t="s">
        <v>497</v>
      </c>
    </row>
    <row r="9" spans="1:11" ht="59.45" customHeight="1">
      <c r="A9" s="29">
        <v>1</v>
      </c>
      <c r="C9" s="422" t="s">
        <v>475</v>
      </c>
      <c r="D9" s="423" t="str">
        <f>VLOOKUP(A9,LPCH_Heart_Lung,9,FALSE)</f>
        <v>35% of billed charges</v>
      </c>
      <c r="E9" s="379"/>
      <c r="F9" s="117"/>
      <c r="G9" s="172"/>
      <c r="H9" s="117"/>
    </row>
    <row r="10" spans="1:11" ht="41.1" customHeight="1">
      <c r="A10" s="29">
        <v>2</v>
      </c>
      <c r="C10" s="424" t="s">
        <v>391</v>
      </c>
      <c r="D10" s="158">
        <f>VLOOKUP(A10,LPCH_Heart_Lung,9,FALSE)</f>
        <v>272865</v>
      </c>
      <c r="E10" s="384"/>
      <c r="F10" s="118"/>
      <c r="G10" s="118"/>
      <c r="H10" s="118"/>
    </row>
    <row r="11" spans="1:11" ht="41.1" customHeight="1">
      <c r="A11" s="29">
        <v>3</v>
      </c>
      <c r="C11" s="425" t="s">
        <v>392</v>
      </c>
      <c r="D11" s="158">
        <f>VLOOKUP(A11,LPCH_Heart_Lung,9,FALSE)</f>
        <v>156908</v>
      </c>
      <c r="E11" s="384"/>
      <c r="F11" s="118"/>
      <c r="G11" s="118"/>
      <c r="H11" s="118"/>
    </row>
    <row r="12" spans="1:11" ht="41.1" customHeight="1">
      <c r="A12" s="29">
        <v>4</v>
      </c>
      <c r="C12" s="425" t="s">
        <v>487</v>
      </c>
      <c r="D12" s="158">
        <f>VLOOKUP(A12,LPCH_Heart_Lung,9,FALSE)</f>
        <v>59775</v>
      </c>
      <c r="E12" s="384"/>
      <c r="F12" s="118"/>
      <c r="G12" s="118"/>
      <c r="H12" s="118"/>
    </row>
    <row r="13" spans="1:11" ht="30.75" customHeight="1">
      <c r="A13" s="114"/>
      <c r="C13" s="426" t="s">
        <v>500</v>
      </c>
      <c r="D13" s="427">
        <f>SUM(D10:D12)</f>
        <v>489548</v>
      </c>
      <c r="E13" s="389"/>
      <c r="F13" s="118"/>
      <c r="G13" s="118"/>
      <c r="H13" s="118"/>
    </row>
    <row r="14" spans="1:11">
      <c r="A14" s="114"/>
      <c r="C14" s="389"/>
      <c r="D14" s="389"/>
      <c r="E14" s="389"/>
      <c r="F14" s="118"/>
      <c r="G14" s="118"/>
      <c r="H14" s="118"/>
    </row>
    <row r="15" spans="1:11" ht="46.5" customHeight="1">
      <c r="A15" s="114"/>
      <c r="C15" s="567" t="s">
        <v>489</v>
      </c>
      <c r="D15" s="568"/>
      <c r="E15" s="568"/>
      <c r="F15" s="568"/>
      <c r="G15" s="569"/>
    </row>
    <row r="16" spans="1:11" ht="14.1" customHeight="1">
      <c r="A16" s="114"/>
    </row>
    <row r="17" spans="1:10" s="30" customFormat="1" ht="48" customHeight="1">
      <c r="A17" s="114"/>
      <c r="B17" s="207"/>
      <c r="C17" s="567" t="s">
        <v>452</v>
      </c>
      <c r="D17" s="568"/>
      <c r="E17" s="568"/>
      <c r="F17" s="568"/>
      <c r="G17" s="569"/>
    </row>
    <row r="18" spans="1:10" s="48" customFormat="1" ht="32.1" customHeight="1">
      <c r="A18" s="62"/>
      <c r="B18" s="207"/>
      <c r="C18" s="207"/>
      <c r="D18" s="337"/>
      <c r="E18" s="207"/>
      <c r="F18" s="39"/>
      <c r="G18" s="39"/>
      <c r="H18" s="39"/>
      <c r="I18" s="39"/>
    </row>
    <row r="19" spans="1:10" s="48" customFormat="1" ht="12.95">
      <c r="A19" s="62"/>
      <c r="B19" s="207"/>
      <c r="C19" s="218"/>
      <c r="D19" s="339" t="s">
        <v>409</v>
      </c>
      <c r="E19" s="207"/>
      <c r="F19" s="39"/>
      <c r="G19" s="39"/>
      <c r="H19" s="39"/>
      <c r="I19" s="39"/>
    </row>
    <row r="20" spans="1:10" s="48" customFormat="1" ht="66.599999999999994" customHeight="1">
      <c r="A20" s="29">
        <v>5</v>
      </c>
      <c r="B20" s="207"/>
      <c r="C20" s="228" t="s">
        <v>501</v>
      </c>
      <c r="D20" s="340">
        <f>VLOOKUP(A20,LPCH_Heart_Lung,9,FALSE)</f>
        <v>1235492</v>
      </c>
      <c r="E20" s="203"/>
      <c r="F20" s="30"/>
      <c r="G20" s="30"/>
      <c r="H20" s="30"/>
      <c r="I20" s="30"/>
      <c r="J20" s="30"/>
    </row>
    <row r="21" spans="1:10" s="48" customFormat="1" ht="41.1" customHeight="1">
      <c r="A21" s="29">
        <v>6</v>
      </c>
      <c r="B21" s="207"/>
      <c r="C21" s="395" t="s">
        <v>411</v>
      </c>
      <c r="D21" s="396">
        <f>VLOOKUP(A21,LPCH_Heart_Lung,9,FALSE)</f>
        <v>0.35</v>
      </c>
      <c r="E21" s="203"/>
      <c r="F21" s="30"/>
      <c r="G21" s="30"/>
      <c r="H21" s="30"/>
      <c r="I21" s="30"/>
      <c r="J21" s="30"/>
    </row>
    <row r="22" spans="1:10" s="48" customFormat="1" ht="18" customHeight="1">
      <c r="A22" s="29"/>
      <c r="B22" s="207"/>
      <c r="C22" s="45"/>
      <c r="D22" s="341"/>
      <c r="E22" s="203"/>
      <c r="F22" s="30"/>
      <c r="G22" s="30"/>
      <c r="H22" s="30"/>
      <c r="I22" s="30"/>
      <c r="J22" s="30"/>
    </row>
    <row r="23" spans="1:10" s="48" customFormat="1" ht="37.5" customHeight="1">
      <c r="A23" s="29">
        <v>7</v>
      </c>
      <c r="B23" s="207"/>
      <c r="C23" s="61" t="s">
        <v>481</v>
      </c>
      <c r="D23" s="396">
        <f>VLOOKUP(A23,LPCH_Heart_Lung,9,FALSE)</f>
        <v>0.35</v>
      </c>
      <c r="E23" s="278"/>
      <c r="F23" s="75"/>
      <c r="G23" s="121"/>
      <c r="H23" s="129"/>
      <c r="I23" s="30"/>
    </row>
    <row r="24" spans="1:10" ht="15.6">
      <c r="A24" s="29"/>
    </row>
    <row r="25" spans="1:10" s="39" customFormat="1" ht="73.5" customHeight="1">
      <c r="A25" s="47"/>
      <c r="B25" s="207"/>
      <c r="C25" s="567" t="s">
        <v>502</v>
      </c>
      <c r="D25" s="568"/>
      <c r="E25" s="568"/>
      <c r="F25" s="568"/>
      <c r="G25" s="568"/>
      <c r="H25" s="568"/>
      <c r="I25" s="569"/>
    </row>
    <row r="26" spans="1:10">
      <c r="A26" s="114"/>
    </row>
    <row r="27" spans="1:10">
      <c r="A27" s="114"/>
    </row>
    <row r="28" spans="1:10">
      <c r="A28" s="114"/>
    </row>
    <row r="29" spans="1:10">
      <c r="A29" s="114"/>
    </row>
    <row r="30" spans="1:10">
      <c r="A30" s="114"/>
    </row>
    <row r="31" spans="1:10">
      <c r="A31" s="114"/>
    </row>
    <row r="32" spans="1:10">
      <c r="A32" s="114"/>
    </row>
    <row r="33" spans="1:1">
      <c r="A33" s="114"/>
    </row>
    <row r="34" spans="1:1">
      <c r="A34" s="114"/>
    </row>
    <row r="35" spans="1:1">
      <c r="A35" s="114"/>
    </row>
  </sheetData>
  <sheetProtection algorithmName="SHA-512" hashValue="83aiKMoys1gYfhxh977XF4ZrW3ZsVAr3+vwEONzj4CszEWwMQevTfJI9+/18ZwpOWWKu//GmtYcpFqYZ6TuAgA==" saltValue="heX7vBv3pu/k610ntjBhag==" spinCount="100000" sheet="1" objects="1" scenarios="1"/>
  <mergeCells count="7">
    <mergeCell ref="C25:I25"/>
    <mergeCell ref="C17:G17"/>
    <mergeCell ref="C15:G15"/>
    <mergeCell ref="B3:G3"/>
    <mergeCell ref="B4:G4"/>
    <mergeCell ref="B5:G5"/>
    <mergeCell ref="B6:G6"/>
  </mergeCells>
  <printOptions horizontalCentered="1"/>
  <pageMargins left="0.7" right="0.7" top="0.75" bottom="0.75" header="0.3" footer="0.3"/>
  <pageSetup scale="57"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D40CA-0A1F-4548-AC42-92265FC70131}">
  <sheetPr codeName="Sheet7">
    <tabColor rgb="FFFFCC00"/>
    <pageSetUpPr fitToPage="1"/>
  </sheetPr>
  <dimension ref="A1:L35"/>
  <sheetViews>
    <sheetView showGridLines="0" topLeftCell="B2" zoomScale="90" zoomScaleNormal="90" zoomScaleSheetLayoutView="80" workbookViewId="0">
      <selection activeCell="F9" sqref="F9"/>
    </sheetView>
  </sheetViews>
  <sheetFormatPr defaultColWidth="8.875" defaultRowHeight="14.45"/>
  <cols>
    <col min="1" max="1" width="30.625" style="123" hidden="1" customWidth="1"/>
    <col min="2" max="2" width="6.625" style="400" customWidth="1"/>
    <col min="3" max="3" width="63.875" style="400" customWidth="1"/>
    <col min="4" max="4" width="21.5" style="400" customWidth="1"/>
    <col min="5" max="5" width="13.375" style="400" customWidth="1"/>
    <col min="6" max="6" width="16.875" style="123" customWidth="1"/>
    <col min="7" max="7" width="12.875" style="123" customWidth="1"/>
    <col min="8" max="8" width="0.625" style="123" customWidth="1"/>
    <col min="9" max="9" width="3.5" style="123" customWidth="1"/>
    <col min="10" max="16384" width="8.875" style="123"/>
  </cols>
  <sheetData>
    <row r="1" spans="1:11" s="499" customFormat="1" ht="20.100000000000001" hidden="1" customHeight="1">
      <c r="A1" s="481" t="e" cm="1">
        <f t="array" aca="1" ref="A1" ca="1">MID(CELL("filename",A1),FIND("]",CELL("filename",A1))+1,255)</f>
        <v>#VALUE!</v>
      </c>
      <c r="B1" s="497"/>
      <c r="C1" s="498">
        <v>3</v>
      </c>
      <c r="D1" s="29">
        <v>4</v>
      </c>
    </row>
    <row r="2" spans="1:11">
      <c r="A2" s="122"/>
    </row>
    <row r="3" spans="1:11" ht="20.100000000000001" customHeight="1">
      <c r="A3" s="122"/>
      <c r="B3" s="594" t="s">
        <v>472</v>
      </c>
      <c r="C3" s="594"/>
      <c r="D3" s="594"/>
      <c r="E3" s="594"/>
      <c r="F3" s="594"/>
      <c r="G3" s="594"/>
      <c r="H3" s="72"/>
      <c r="I3" s="72"/>
      <c r="J3" s="72"/>
      <c r="K3" s="72"/>
    </row>
    <row r="4" spans="1:11" ht="20.100000000000001" customHeight="1">
      <c r="A4" s="122"/>
      <c r="B4" s="594" t="s">
        <v>503</v>
      </c>
      <c r="C4" s="594"/>
      <c r="D4" s="594"/>
      <c r="E4" s="594"/>
      <c r="F4" s="594"/>
      <c r="G4" s="594"/>
      <c r="H4" s="72"/>
      <c r="I4" s="72"/>
      <c r="J4" s="72"/>
      <c r="K4" s="72"/>
    </row>
    <row r="5" spans="1:11" ht="20.100000000000001" customHeight="1">
      <c r="A5" s="122"/>
      <c r="B5" s="590" t="s">
        <v>473</v>
      </c>
      <c r="C5" s="590"/>
      <c r="D5" s="590"/>
      <c r="E5" s="590"/>
      <c r="F5" s="590"/>
      <c r="G5" s="590"/>
      <c r="H5" s="116"/>
      <c r="I5" s="116"/>
      <c r="J5" s="116"/>
      <c r="K5" s="116"/>
    </row>
    <row r="6" spans="1:11" ht="20.100000000000001" customHeight="1">
      <c r="A6" s="122"/>
      <c r="B6" s="594" t="s">
        <v>474</v>
      </c>
      <c r="C6" s="594"/>
      <c r="D6" s="594"/>
      <c r="E6" s="594"/>
      <c r="F6" s="594"/>
      <c r="G6" s="594"/>
      <c r="H6" s="72"/>
      <c r="I6" s="72"/>
      <c r="J6" s="72"/>
      <c r="K6" s="72"/>
    </row>
    <row r="7" spans="1:11">
      <c r="A7" s="122"/>
    </row>
    <row r="8" spans="1:11" ht="41.1" customHeight="1">
      <c r="A8" s="122"/>
      <c r="C8" s="401" t="s">
        <v>387</v>
      </c>
      <c r="D8" s="402" t="s">
        <v>486</v>
      </c>
      <c r="E8" s="403"/>
      <c r="F8" s="124"/>
      <c r="G8" s="124"/>
      <c r="H8" s="124" t="s">
        <v>497</v>
      </c>
    </row>
    <row r="9" spans="1:11" ht="59.45" customHeight="1">
      <c r="A9" s="29">
        <v>1</v>
      </c>
      <c r="C9" s="404" t="s">
        <v>475</v>
      </c>
      <c r="D9" s="405" t="str">
        <f>VLOOKUP(A9,LPCH_Heart_Liver,9,FALSE)</f>
        <v>35% of billed charges</v>
      </c>
      <c r="E9" s="403"/>
      <c r="F9" s="124"/>
      <c r="G9" s="173"/>
      <c r="H9" s="124"/>
    </row>
    <row r="10" spans="1:11" ht="41.1" customHeight="1">
      <c r="A10" s="29">
        <v>2</v>
      </c>
      <c r="C10" s="406" t="s">
        <v>391</v>
      </c>
      <c r="D10" s="178">
        <f>VLOOKUP(A10,LPCH_Heart_Liver,9,FALSE)</f>
        <v>434913</v>
      </c>
      <c r="E10" s="407"/>
      <c r="F10" s="125"/>
      <c r="G10" s="125"/>
      <c r="H10" s="125"/>
    </row>
    <row r="11" spans="1:11" ht="41.1" customHeight="1">
      <c r="A11" s="29">
        <v>3</v>
      </c>
      <c r="C11" s="408" t="s">
        <v>392</v>
      </c>
      <c r="D11" s="178">
        <f>VLOOKUP(A11,LPCH_Heart_Liver,9,FALSE)</f>
        <v>151851</v>
      </c>
      <c r="E11" s="407"/>
      <c r="F11" s="125"/>
      <c r="G11" s="125"/>
      <c r="H11" s="125"/>
    </row>
    <row r="12" spans="1:11" ht="41.1" customHeight="1">
      <c r="A12" s="29">
        <v>4</v>
      </c>
      <c r="C12" s="408" t="s">
        <v>487</v>
      </c>
      <c r="D12" s="178">
        <f>VLOOKUP(A12,LPCH_Heart_Liver,9,FALSE)</f>
        <v>57848</v>
      </c>
      <c r="E12" s="407"/>
      <c r="F12" s="125"/>
      <c r="G12" s="125"/>
      <c r="H12" s="125"/>
    </row>
    <row r="13" spans="1:11" ht="40.5" customHeight="1">
      <c r="A13" s="114"/>
      <c r="C13" s="409" t="s">
        <v>504</v>
      </c>
      <c r="D13" s="410">
        <f>SUM(D10:D12)</f>
        <v>644612</v>
      </c>
      <c r="E13" s="411"/>
      <c r="F13" s="125"/>
      <c r="G13" s="125"/>
      <c r="H13" s="125"/>
    </row>
    <row r="14" spans="1:11" ht="9.9499999999999993" customHeight="1">
      <c r="A14" s="114"/>
      <c r="C14" s="411"/>
      <c r="D14" s="411"/>
      <c r="E14" s="411"/>
      <c r="F14" s="125"/>
      <c r="G14" s="125"/>
      <c r="H14" s="125"/>
    </row>
    <row r="15" spans="1:11" ht="48.95" customHeight="1">
      <c r="A15" s="114"/>
      <c r="C15" s="604" t="s">
        <v>489</v>
      </c>
      <c r="D15" s="605"/>
      <c r="E15" s="605"/>
      <c r="F15" s="605"/>
      <c r="G15" s="606"/>
    </row>
    <row r="16" spans="1:11" ht="29.45" customHeight="1">
      <c r="A16" s="114"/>
    </row>
    <row r="17" spans="1:12" s="126" customFormat="1" ht="48" customHeight="1">
      <c r="A17" s="114"/>
      <c r="B17" s="272"/>
      <c r="C17" s="604" t="s">
        <v>452</v>
      </c>
      <c r="D17" s="605"/>
      <c r="E17" s="605"/>
      <c r="F17" s="605"/>
      <c r="G17" s="606"/>
    </row>
    <row r="18" spans="1:12" s="127" customFormat="1" ht="21" customHeight="1">
      <c r="A18" s="62"/>
      <c r="B18" s="272"/>
      <c r="C18" s="272"/>
      <c r="D18" s="412"/>
      <c r="E18" s="272"/>
      <c r="F18" s="73"/>
      <c r="G18" s="73"/>
      <c r="H18" s="73"/>
      <c r="I18" s="73"/>
    </row>
    <row r="19" spans="1:12" s="127" customFormat="1" ht="12.95">
      <c r="A19" s="62"/>
      <c r="B19" s="272"/>
      <c r="C19" s="413"/>
      <c r="D19" s="414" t="s">
        <v>409</v>
      </c>
      <c r="E19" s="272"/>
      <c r="F19" s="73"/>
      <c r="G19" s="73"/>
      <c r="H19" s="73"/>
      <c r="I19" s="73"/>
    </row>
    <row r="20" spans="1:12" s="127" customFormat="1" ht="75.95" customHeight="1">
      <c r="A20" s="29">
        <v>5</v>
      </c>
      <c r="B20" s="272"/>
      <c r="C20" s="415" t="s">
        <v>505</v>
      </c>
      <c r="D20" s="416">
        <f>VLOOKUP(A20,LPCH_Heart_Liver,9,FALSE)</f>
        <v>1624421</v>
      </c>
      <c r="E20" s="203"/>
      <c r="F20" s="30"/>
      <c r="G20" s="30"/>
      <c r="H20" s="30"/>
      <c r="I20" s="30"/>
      <c r="J20" s="30"/>
      <c r="K20" s="30"/>
      <c r="L20" s="30"/>
    </row>
    <row r="21" spans="1:12" s="127" customFormat="1" ht="39" customHeight="1">
      <c r="A21" s="29">
        <v>6</v>
      </c>
      <c r="B21" s="272"/>
      <c r="C21" s="395" t="s">
        <v>411</v>
      </c>
      <c r="D21" s="417">
        <f>VLOOKUP(A21,LPCH_Heart_Liver,9,FALSE)</f>
        <v>0.35</v>
      </c>
      <c r="E21" s="203"/>
      <c r="F21" s="30"/>
      <c r="G21" s="30"/>
      <c r="H21" s="30"/>
      <c r="I21" s="30"/>
      <c r="J21" s="30"/>
      <c r="K21" s="30"/>
      <c r="L21" s="30"/>
    </row>
    <row r="22" spans="1:12" s="127" customFormat="1" ht="15.6" customHeight="1">
      <c r="A22" s="29"/>
      <c r="B22" s="272"/>
      <c r="C22" s="418"/>
      <c r="D22" s="419"/>
      <c r="E22" s="203"/>
      <c r="F22" s="30"/>
      <c r="G22" s="30"/>
      <c r="H22" s="30"/>
      <c r="I22" s="30"/>
      <c r="J22" s="30"/>
      <c r="K22" s="30"/>
      <c r="L22" s="30"/>
    </row>
    <row r="23" spans="1:12" s="127" customFormat="1" ht="54" customHeight="1">
      <c r="A23" s="29">
        <v>7</v>
      </c>
      <c r="B23" s="272"/>
      <c r="C23" s="61" t="s">
        <v>481</v>
      </c>
      <c r="D23" s="417">
        <f>VLOOKUP(A23,LPCH_Heart_Liver,9,FALSE)</f>
        <v>0.35</v>
      </c>
      <c r="E23" s="278"/>
      <c r="F23" s="75"/>
      <c r="G23" s="121"/>
      <c r="H23" s="30"/>
      <c r="I23" s="30"/>
    </row>
    <row r="24" spans="1:12" ht="27.6" customHeight="1">
      <c r="A24" s="122"/>
    </row>
    <row r="25" spans="1:12" s="73" customFormat="1" ht="73.5" customHeight="1">
      <c r="A25" s="79"/>
      <c r="B25" s="272"/>
      <c r="C25" s="604" t="s">
        <v>502</v>
      </c>
      <c r="D25" s="605"/>
      <c r="E25" s="605"/>
      <c r="F25" s="605"/>
      <c r="G25" s="605"/>
      <c r="H25" s="605"/>
      <c r="I25" s="606"/>
    </row>
    <row r="26" spans="1:12">
      <c r="A26" s="122"/>
    </row>
    <row r="27" spans="1:12">
      <c r="A27" s="122"/>
    </row>
    <row r="28" spans="1:12">
      <c r="A28" s="122"/>
    </row>
    <row r="29" spans="1:12">
      <c r="A29" s="122"/>
    </row>
    <row r="30" spans="1:12">
      <c r="A30" s="122"/>
    </row>
    <row r="31" spans="1:12">
      <c r="A31" s="122"/>
    </row>
    <row r="32" spans="1:12">
      <c r="A32" s="122"/>
    </row>
    <row r="33" spans="1:1">
      <c r="A33" s="122"/>
    </row>
    <row r="34" spans="1:1">
      <c r="A34" s="122"/>
    </row>
    <row r="35" spans="1:1">
      <c r="A35" s="122"/>
    </row>
  </sheetData>
  <sheetProtection algorithmName="SHA-512" hashValue="1ekFY4Mss2SWfD/IFnyq6linVLOyGnN2sDlbon2gRBAyHctro1G5dcbVUWxLPG7RTEC9Y2ajq4H9O4tMhLgnoQ==" saltValue="t4M6n9vlxkMDy1damfdvcw==" spinCount="100000" sheet="1" objects="1" scenarios="1"/>
  <mergeCells count="7">
    <mergeCell ref="C25:I25"/>
    <mergeCell ref="B3:G3"/>
    <mergeCell ref="B4:G4"/>
    <mergeCell ref="B5:G5"/>
    <mergeCell ref="B6:G6"/>
    <mergeCell ref="C15:G15"/>
    <mergeCell ref="C17:G17"/>
  </mergeCells>
  <printOptions horizontalCentered="1"/>
  <pageMargins left="0.7" right="0.7" top="0.75" bottom="0.75" header="0.3" footer="0.3"/>
  <pageSetup scale="53"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2">
    <tabColor rgb="FFFFCC00"/>
    <pageSetUpPr fitToPage="1"/>
  </sheetPr>
  <dimension ref="A1:K35"/>
  <sheetViews>
    <sheetView showGridLines="0" topLeftCell="B2" zoomScale="90" zoomScaleNormal="90" workbookViewId="0">
      <selection activeCell="B6" sqref="B6:G6"/>
    </sheetView>
  </sheetViews>
  <sheetFormatPr defaultColWidth="8.875" defaultRowHeight="14.45"/>
  <cols>
    <col min="1" max="1" width="30.625" style="115" hidden="1" customWidth="1"/>
    <col min="2" max="2" width="6.625" style="376" customWidth="1"/>
    <col min="3" max="3" width="62.5" style="376" customWidth="1"/>
    <col min="4" max="4" width="22.375" style="376" customWidth="1"/>
    <col min="5" max="5" width="13.375" style="376" customWidth="1"/>
    <col min="6" max="6" width="20" style="115" customWidth="1"/>
    <col min="7" max="7" width="12.875" style="115" customWidth="1"/>
    <col min="8" max="16384" width="8.875" style="115"/>
  </cols>
  <sheetData>
    <row r="1" spans="1:11" s="496" customFormat="1" ht="20.100000000000001" hidden="1" customHeight="1">
      <c r="A1" s="481" t="e" cm="1">
        <f t="array" aca="1" ref="A1" ca="1">MID(CELL("filename",A1),FIND("]",CELL("filename",A1))+1,255)</f>
        <v>#VALUE!</v>
      </c>
      <c r="B1" s="494"/>
      <c r="C1" s="495">
        <v>3</v>
      </c>
      <c r="D1" s="29">
        <v>4</v>
      </c>
    </row>
    <row r="2" spans="1:11">
      <c r="A2" s="114"/>
    </row>
    <row r="3" spans="1:11" ht="20.100000000000001" customHeight="1">
      <c r="A3" s="114"/>
      <c r="B3" s="594" t="s">
        <v>472</v>
      </c>
      <c r="C3" s="594"/>
      <c r="D3" s="594"/>
      <c r="E3" s="594"/>
      <c r="F3" s="594"/>
      <c r="G3" s="594"/>
      <c r="H3" s="72"/>
      <c r="I3" s="72"/>
      <c r="J3" s="72"/>
      <c r="K3" s="72"/>
    </row>
    <row r="4" spans="1:11" ht="20.100000000000001" customHeight="1">
      <c r="A4" s="114"/>
      <c r="B4" s="594" t="s">
        <v>506</v>
      </c>
      <c r="C4" s="594"/>
      <c r="D4" s="594"/>
      <c r="E4" s="594"/>
      <c r="F4" s="594"/>
      <c r="G4" s="594"/>
      <c r="H4" s="72"/>
      <c r="I4" s="72"/>
      <c r="J4" s="72"/>
      <c r="K4" s="72"/>
    </row>
    <row r="5" spans="1:11" ht="20.100000000000001" customHeight="1">
      <c r="A5" s="114"/>
      <c r="B5" s="594" t="s">
        <v>507</v>
      </c>
      <c r="C5" s="594"/>
      <c r="D5" s="594"/>
      <c r="E5" s="594"/>
      <c r="F5" s="594"/>
      <c r="G5" s="594"/>
      <c r="H5" s="72"/>
      <c r="I5" s="72"/>
      <c r="J5" s="72"/>
      <c r="K5" s="72"/>
    </row>
    <row r="6" spans="1:11" ht="20.100000000000001" customHeight="1">
      <c r="A6" s="114"/>
      <c r="B6" s="590" t="s">
        <v>473</v>
      </c>
      <c r="C6" s="590"/>
      <c r="D6" s="590"/>
      <c r="E6" s="590"/>
      <c r="F6" s="590"/>
      <c r="G6" s="590"/>
      <c r="H6" s="116"/>
      <c r="I6" s="116"/>
      <c r="J6" s="116"/>
      <c r="K6" s="116"/>
    </row>
    <row r="7" spans="1:11" ht="20.100000000000001" customHeight="1">
      <c r="A7" s="114"/>
      <c r="B7" s="594" t="s">
        <v>474</v>
      </c>
      <c r="C7" s="594"/>
      <c r="D7" s="594"/>
      <c r="E7" s="594"/>
      <c r="F7" s="594"/>
      <c r="G7" s="594"/>
      <c r="H7" s="72"/>
      <c r="I7" s="72"/>
      <c r="J7" s="72"/>
      <c r="K7" s="72"/>
    </row>
    <row r="8" spans="1:11" ht="15" thickBot="1">
      <c r="A8" s="114"/>
    </row>
    <row r="9" spans="1:11" ht="31.5" customHeight="1">
      <c r="A9" s="114"/>
      <c r="C9" s="377" t="s">
        <v>387</v>
      </c>
      <c r="D9" s="397" t="s">
        <v>486</v>
      </c>
      <c r="E9" s="379"/>
      <c r="F9" s="117"/>
      <c r="G9" s="172"/>
      <c r="H9" s="117"/>
    </row>
    <row r="10" spans="1:11" ht="66.599999999999994" customHeight="1">
      <c r="A10" s="29">
        <v>1</v>
      </c>
      <c r="C10" s="380" t="s">
        <v>508</v>
      </c>
      <c r="D10" s="179" t="str">
        <f>VLOOKUP(A10,LPCH_Multivis_CadDonor,9,FALSE)</f>
        <v>35% of billed charges</v>
      </c>
      <c r="E10" s="379"/>
      <c r="F10" s="117"/>
      <c r="G10" s="117"/>
      <c r="H10" s="117"/>
    </row>
    <row r="11" spans="1:11" ht="41.1" customHeight="1">
      <c r="A11" s="29">
        <v>2</v>
      </c>
      <c r="C11" s="382" t="s">
        <v>391</v>
      </c>
      <c r="D11" s="398">
        <f>VLOOKUP(A11,LPCH_Multivis_CadDonor,9,FALSE)</f>
        <v>521533</v>
      </c>
      <c r="E11" s="384"/>
      <c r="F11" s="118"/>
      <c r="G11" s="118"/>
      <c r="H11" s="118"/>
    </row>
    <row r="12" spans="1:11" ht="41.1" customHeight="1">
      <c r="A12" s="29">
        <v>3</v>
      </c>
      <c r="C12" s="385" t="s">
        <v>392</v>
      </c>
      <c r="D12" s="398">
        <f>VLOOKUP(A12,LPCH_Multivis_CadDonor,9,FALSE)</f>
        <v>506589</v>
      </c>
      <c r="E12" s="384"/>
      <c r="F12" s="118"/>
      <c r="G12" s="118"/>
      <c r="H12" s="118"/>
    </row>
    <row r="13" spans="1:11" ht="41.1" customHeight="1">
      <c r="A13" s="29">
        <v>4</v>
      </c>
      <c r="C13" s="385" t="s">
        <v>487</v>
      </c>
      <c r="D13" s="398">
        <f>VLOOKUP(A13,LPCH_Multivis_CadDonor,9,FALSE)</f>
        <v>40646</v>
      </c>
      <c r="E13" s="384"/>
      <c r="F13" s="118"/>
      <c r="G13" s="118"/>
      <c r="H13" s="118"/>
    </row>
    <row r="14" spans="1:11" ht="32.450000000000003" customHeight="1">
      <c r="A14" s="114"/>
      <c r="C14" s="386" t="s">
        <v>509</v>
      </c>
      <c r="D14" s="399">
        <f>SUM(D11:D13)</f>
        <v>1068768</v>
      </c>
      <c r="E14" s="389"/>
      <c r="F14" s="118"/>
      <c r="G14" s="118"/>
      <c r="H14" s="118"/>
    </row>
    <row r="15" spans="1:11" ht="18" customHeight="1">
      <c r="A15" s="114"/>
      <c r="C15" s="389"/>
      <c r="D15" s="390"/>
      <c r="E15" s="389"/>
      <c r="F15" s="118"/>
      <c r="G15" s="118"/>
      <c r="H15" s="118"/>
    </row>
    <row r="16" spans="1:11" ht="48" customHeight="1">
      <c r="A16" s="114"/>
      <c r="C16" s="591" t="s">
        <v>489</v>
      </c>
      <c r="D16" s="592"/>
      <c r="E16" s="592"/>
      <c r="F16" s="592"/>
      <c r="G16" s="593"/>
    </row>
    <row r="17" spans="1:10" ht="33.950000000000003" customHeight="1">
      <c r="A17" s="114"/>
    </row>
    <row r="18" spans="1:10">
      <c r="A18" s="62"/>
      <c r="C18" s="391"/>
      <c r="D18" s="392" t="s">
        <v>409</v>
      </c>
      <c r="E18" s="389"/>
      <c r="F18" s="118"/>
      <c r="G18" s="120"/>
    </row>
    <row r="19" spans="1:10" ht="72.599999999999994" customHeight="1">
      <c r="A19" s="29">
        <v>5</v>
      </c>
      <c r="C19" s="393" t="s">
        <v>510</v>
      </c>
      <c r="D19" s="394">
        <f>VLOOKUP(A19,LPCH_Multivis_CadDonor,9,FALSE)</f>
        <v>2697308</v>
      </c>
      <c r="E19" s="203"/>
      <c r="F19" s="30"/>
      <c r="G19" s="30"/>
      <c r="H19" s="30"/>
      <c r="I19" s="30"/>
      <c r="J19" s="30"/>
    </row>
    <row r="20" spans="1:10" ht="41.1" customHeight="1">
      <c r="A20" s="29">
        <v>6</v>
      </c>
      <c r="C20" s="395" t="s">
        <v>411</v>
      </c>
      <c r="D20" s="396">
        <f>VLOOKUP(A20,LPCH_Multivis_CadDonor,9,FALSE)</f>
        <v>0.35</v>
      </c>
      <c r="E20" s="203"/>
      <c r="F20" s="30"/>
      <c r="G20" s="30"/>
      <c r="H20" s="30"/>
      <c r="I20" s="30"/>
      <c r="J20" s="30"/>
    </row>
    <row r="21" spans="1:10" ht="12" customHeight="1">
      <c r="A21" s="114"/>
    </row>
    <row r="22" spans="1:10" ht="37.5" customHeight="1">
      <c r="A22" s="29">
        <v>7</v>
      </c>
      <c r="C22" s="61" t="s">
        <v>481</v>
      </c>
      <c r="D22" s="396">
        <f>VLOOKUP(A22,LPCH_Multivis_CadDonor,9,FALSE)</f>
        <v>0.35</v>
      </c>
      <c r="E22" s="278"/>
      <c r="F22" s="75"/>
      <c r="G22" s="121"/>
    </row>
    <row r="23" spans="1:10">
      <c r="A23" s="114"/>
    </row>
    <row r="24" spans="1:10" ht="29.1" customHeight="1">
      <c r="A24" s="114"/>
      <c r="C24" s="567" t="s">
        <v>452</v>
      </c>
      <c r="D24" s="568"/>
      <c r="E24" s="568"/>
      <c r="F24" s="568"/>
      <c r="G24" s="569"/>
    </row>
    <row r="25" spans="1:10">
      <c r="A25" s="114"/>
    </row>
    <row r="26" spans="1:10">
      <c r="A26" s="114"/>
    </row>
    <row r="27" spans="1:10">
      <c r="A27" s="114"/>
    </row>
    <row r="28" spans="1:10">
      <c r="A28" s="114"/>
    </row>
    <row r="29" spans="1:10">
      <c r="A29" s="114"/>
    </row>
    <row r="30" spans="1:10">
      <c r="A30" s="114"/>
    </row>
    <row r="31" spans="1:10">
      <c r="A31" s="114"/>
    </row>
    <row r="32" spans="1:10">
      <c r="A32" s="114"/>
    </row>
    <row r="33" spans="1:1">
      <c r="A33" s="114"/>
    </row>
    <row r="34" spans="1:1">
      <c r="A34" s="114"/>
    </row>
    <row r="35" spans="1:1">
      <c r="A35" s="114"/>
    </row>
  </sheetData>
  <sheetProtection algorithmName="SHA-512" hashValue="OKCfmSs4m7UUsNdw+v0no9O0uAuzb48Nc/Whn5gSwRgioX/en9MFxfdHaZI256n4W339rpJcqJBRn7q+Fjaq8Q==" saltValue="yIqnV5j748CwuaGSD9fLHA==" spinCount="100000" sheet="1" objects="1" scenarios="1"/>
  <mergeCells count="7">
    <mergeCell ref="C24:G24"/>
    <mergeCell ref="C16:G16"/>
    <mergeCell ref="B3:G3"/>
    <mergeCell ref="B4:G4"/>
    <mergeCell ref="B5:G5"/>
    <mergeCell ref="B6:G6"/>
    <mergeCell ref="B7:G7"/>
  </mergeCells>
  <printOptions horizontalCentered="1"/>
  <pageMargins left="0.7" right="0.7" top="0.75" bottom="0.75" header="0.3" footer="0.3"/>
  <pageSetup scale="61"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tabColor rgb="FFFFCC00"/>
    <pageSetUpPr fitToPage="1"/>
  </sheetPr>
  <dimension ref="A1:L35"/>
  <sheetViews>
    <sheetView showGridLines="0" topLeftCell="B2" zoomScale="90" zoomScaleNormal="90" workbookViewId="0">
      <selection activeCell="B6" sqref="B6:G6"/>
    </sheetView>
  </sheetViews>
  <sheetFormatPr defaultColWidth="8.875" defaultRowHeight="14.45"/>
  <cols>
    <col min="1" max="1" width="30.625" style="115" hidden="1" customWidth="1"/>
    <col min="2" max="2" width="6.625" style="376" customWidth="1"/>
    <col min="3" max="3" width="60.75" style="376" customWidth="1"/>
    <col min="4" max="4" width="26.875" style="376" customWidth="1"/>
    <col min="5" max="5" width="15.25" style="376" customWidth="1"/>
    <col min="6" max="6" width="15" style="115" customWidth="1"/>
    <col min="7" max="7" width="11.25" style="115" customWidth="1"/>
    <col min="8" max="16384" width="8.875" style="115"/>
  </cols>
  <sheetData>
    <row r="1" spans="1:12" s="496" customFormat="1" ht="20.100000000000001" hidden="1" customHeight="1">
      <c r="A1" s="481" t="e" cm="1">
        <f t="array" aca="1" ref="A1" ca="1">MID(CELL("filename",A1),FIND("]",CELL("filename",A1))+1,255)</f>
        <v>#VALUE!</v>
      </c>
      <c r="B1" s="494"/>
      <c r="C1" s="495">
        <v>3</v>
      </c>
      <c r="D1" s="29">
        <v>4</v>
      </c>
    </row>
    <row r="2" spans="1:12">
      <c r="A2" s="114"/>
    </row>
    <row r="3" spans="1:12" ht="20.100000000000001" customHeight="1">
      <c r="A3" s="114"/>
      <c r="B3" s="594" t="s">
        <v>472</v>
      </c>
      <c r="C3" s="594"/>
      <c r="D3" s="594"/>
      <c r="E3" s="594"/>
      <c r="F3" s="594"/>
      <c r="G3" s="594"/>
      <c r="H3" s="72"/>
      <c r="I3" s="72"/>
      <c r="J3" s="72"/>
      <c r="K3" s="72"/>
    </row>
    <row r="4" spans="1:12" ht="20.100000000000001" customHeight="1">
      <c r="A4" s="114"/>
      <c r="B4" s="594" t="s">
        <v>511</v>
      </c>
      <c r="C4" s="594"/>
      <c r="D4" s="594"/>
      <c r="E4" s="594"/>
      <c r="F4" s="594"/>
      <c r="G4" s="594"/>
      <c r="H4" s="72"/>
      <c r="I4" s="72"/>
      <c r="J4" s="72"/>
      <c r="K4" s="72"/>
    </row>
    <row r="5" spans="1:12" ht="20.100000000000001" customHeight="1">
      <c r="A5" s="114"/>
      <c r="B5" s="594" t="s">
        <v>512</v>
      </c>
      <c r="C5" s="594"/>
      <c r="D5" s="594"/>
      <c r="E5" s="594"/>
      <c r="F5" s="594"/>
      <c r="G5" s="594"/>
      <c r="H5" s="72"/>
      <c r="I5" s="72"/>
      <c r="J5" s="72"/>
      <c r="K5" s="72"/>
    </row>
    <row r="6" spans="1:12" ht="20.100000000000001" customHeight="1">
      <c r="A6" s="114"/>
      <c r="B6" s="590" t="s">
        <v>473</v>
      </c>
      <c r="C6" s="590"/>
      <c r="D6" s="590"/>
      <c r="E6" s="590"/>
      <c r="F6" s="590"/>
      <c r="G6" s="590"/>
      <c r="H6" s="116"/>
      <c r="I6" s="116"/>
      <c r="J6" s="116"/>
      <c r="K6" s="116"/>
    </row>
    <row r="7" spans="1:12" ht="20.100000000000001" customHeight="1">
      <c r="A7" s="114"/>
      <c r="B7" s="594" t="s">
        <v>474</v>
      </c>
      <c r="C7" s="594"/>
      <c r="D7" s="594"/>
      <c r="E7" s="594"/>
      <c r="F7" s="594"/>
      <c r="G7" s="594"/>
      <c r="H7" s="72"/>
      <c r="I7" s="72"/>
      <c r="J7" s="72"/>
      <c r="K7" s="72"/>
    </row>
    <row r="8" spans="1:12">
      <c r="A8" s="114"/>
    </row>
    <row r="9" spans="1:12" ht="18.95" thickBot="1">
      <c r="A9" s="114"/>
      <c r="G9" s="172"/>
    </row>
    <row r="10" spans="1:12" ht="50.45" customHeight="1">
      <c r="A10" s="114"/>
      <c r="C10" s="377" t="s">
        <v>387</v>
      </c>
      <c r="D10" s="378" t="s">
        <v>486</v>
      </c>
      <c r="E10" s="379"/>
      <c r="F10" s="117"/>
      <c r="G10" s="117"/>
      <c r="H10" s="117"/>
    </row>
    <row r="11" spans="1:12" ht="58.15" customHeight="1">
      <c r="A11" s="29">
        <v>1</v>
      </c>
      <c r="C11" s="380" t="s">
        <v>508</v>
      </c>
      <c r="D11" s="381" t="str">
        <f>VLOOKUP(A11,LPCH_IntestineCadDonor,9,FALSE)</f>
        <v>35% of billed charges</v>
      </c>
      <c r="E11" s="379"/>
      <c r="F11" s="117"/>
      <c r="G11" s="117"/>
      <c r="H11" s="117"/>
    </row>
    <row r="12" spans="1:12" ht="39.950000000000003" customHeight="1">
      <c r="A12" s="29">
        <v>2</v>
      </c>
      <c r="C12" s="382" t="s">
        <v>391</v>
      </c>
      <c r="D12" s="383">
        <f>VLOOKUP(A12,LPCH_IntestineCadDonor,9,FALSE)</f>
        <v>282899</v>
      </c>
      <c r="E12" s="384"/>
      <c r="F12" s="118"/>
      <c r="G12" s="118"/>
      <c r="H12" s="118"/>
    </row>
    <row r="13" spans="1:12" ht="39.950000000000003" customHeight="1">
      <c r="A13" s="29">
        <v>3</v>
      </c>
      <c r="C13" s="385" t="s">
        <v>392</v>
      </c>
      <c r="D13" s="383">
        <f>VLOOKUP(A13,LPCH_IntestineCadDonor,9,FALSE)</f>
        <v>247535</v>
      </c>
      <c r="E13" s="384"/>
      <c r="F13" s="118"/>
      <c r="G13" s="118"/>
      <c r="H13" s="118"/>
    </row>
    <row r="14" spans="1:12" ht="39.950000000000003" customHeight="1">
      <c r="A14" s="29">
        <v>4</v>
      </c>
      <c r="C14" s="385" t="s">
        <v>487</v>
      </c>
      <c r="D14" s="383">
        <f>VLOOKUP(A14,LPCH_IntestineCadDonor,9,FALSE)</f>
        <v>63649</v>
      </c>
      <c r="E14" s="384"/>
      <c r="F14" s="118"/>
      <c r="G14" s="118"/>
      <c r="H14" s="118"/>
      <c r="L14" s="119"/>
    </row>
    <row r="15" spans="1:12" ht="46.5" customHeight="1">
      <c r="A15" s="114"/>
      <c r="C15" s="386" t="s">
        <v>513</v>
      </c>
      <c r="D15" s="387">
        <f>SUM(D12:D14)</f>
        <v>594083</v>
      </c>
      <c r="E15" s="388"/>
      <c r="F15" s="118"/>
      <c r="G15" s="118"/>
      <c r="H15" s="118"/>
      <c r="L15" s="119"/>
    </row>
    <row r="16" spans="1:12" ht="13.5" customHeight="1">
      <c r="A16" s="114"/>
      <c r="C16" s="389"/>
      <c r="D16" s="390"/>
      <c r="E16" s="389"/>
      <c r="F16" s="118"/>
      <c r="G16" s="118"/>
      <c r="H16" s="118"/>
      <c r="L16" s="119"/>
    </row>
    <row r="17" spans="1:12" ht="37.5" customHeight="1">
      <c r="A17" s="114"/>
      <c r="C17" s="591" t="s">
        <v>489</v>
      </c>
      <c r="D17" s="592"/>
      <c r="E17" s="592"/>
      <c r="F17" s="592"/>
      <c r="G17" s="593"/>
    </row>
    <row r="18" spans="1:12" ht="35.450000000000003" customHeight="1">
      <c r="A18" s="62"/>
    </row>
    <row r="19" spans="1:12">
      <c r="A19" s="114"/>
      <c r="C19" s="391"/>
      <c r="D19" s="392" t="s">
        <v>409</v>
      </c>
      <c r="E19" s="389"/>
      <c r="F19" s="118"/>
      <c r="G19" s="120"/>
    </row>
    <row r="20" spans="1:12" ht="72" customHeight="1">
      <c r="A20" s="29">
        <v>5</v>
      </c>
      <c r="C20" s="393" t="s">
        <v>514</v>
      </c>
      <c r="D20" s="394">
        <f>VLOOKUP(A20,LPCH_IntestineCadDonor,9,FALSE)</f>
        <v>1499324</v>
      </c>
      <c r="E20" s="203"/>
      <c r="F20" s="30"/>
      <c r="G20" s="30"/>
      <c r="H20" s="30"/>
      <c r="I20" s="30"/>
    </row>
    <row r="21" spans="1:12" ht="39.950000000000003" customHeight="1">
      <c r="A21" s="29">
        <v>6</v>
      </c>
      <c r="C21" s="395" t="s">
        <v>411</v>
      </c>
      <c r="D21" s="396">
        <f>VLOOKUP(A21,LPCH_IntestineCadDonor,9,FALSE)</f>
        <v>0.35</v>
      </c>
      <c r="E21" s="203"/>
      <c r="F21" s="30"/>
      <c r="G21" s="30"/>
      <c r="H21" s="30"/>
      <c r="I21" s="30"/>
    </row>
    <row r="22" spans="1:12" ht="13.5" customHeight="1">
      <c r="A22" s="114"/>
      <c r="C22" s="389"/>
      <c r="D22" s="390"/>
      <c r="E22" s="389"/>
      <c r="F22" s="118"/>
      <c r="G22" s="118"/>
      <c r="H22" s="118"/>
      <c r="L22" s="119"/>
    </row>
    <row r="23" spans="1:12" ht="50.1" customHeight="1">
      <c r="A23" s="29">
        <v>7</v>
      </c>
      <c r="C23" s="61" t="s">
        <v>481</v>
      </c>
      <c r="D23" s="396">
        <f>VLOOKUP(A23,LPCH_IntestineCadDonor,9,FALSE)</f>
        <v>0.35</v>
      </c>
      <c r="E23" s="278"/>
      <c r="F23" s="75"/>
      <c r="G23" s="121"/>
    </row>
    <row r="24" spans="1:12" ht="29.1" customHeight="1">
      <c r="A24" s="114"/>
    </row>
    <row r="25" spans="1:12" ht="27.6" customHeight="1">
      <c r="A25" s="114"/>
      <c r="C25" s="567" t="s">
        <v>452</v>
      </c>
      <c r="D25" s="568"/>
      <c r="E25" s="568"/>
      <c r="F25" s="568"/>
      <c r="G25" s="569"/>
    </row>
    <row r="26" spans="1:12">
      <c r="A26" s="114"/>
    </row>
    <row r="27" spans="1:12">
      <c r="A27" s="114"/>
    </row>
    <row r="28" spans="1:12">
      <c r="A28" s="114"/>
    </row>
    <row r="29" spans="1:12">
      <c r="A29" s="114"/>
    </row>
    <row r="30" spans="1:12">
      <c r="A30" s="114"/>
    </row>
    <row r="31" spans="1:12">
      <c r="A31" s="114"/>
    </row>
    <row r="32" spans="1:12">
      <c r="A32" s="114"/>
    </row>
    <row r="33" spans="1:1">
      <c r="A33" s="114"/>
    </row>
    <row r="34" spans="1:1">
      <c r="A34" s="114"/>
    </row>
    <row r="35" spans="1:1">
      <c r="A35" s="114"/>
    </row>
  </sheetData>
  <sheetProtection algorithmName="SHA-512" hashValue="fQNPcGkUEFB6O5yqbPbX8mvXBdLI8ci0oGFVsxir1MmDdFS4AwCCwE1oZ1l/s/CGBwHky7kZToUoUN9BGN3rTw==" saltValue="b8esy4W0ursdbkFDu8kB6g==" spinCount="100000" sheet="1" objects="1" scenarios="1"/>
  <mergeCells count="7">
    <mergeCell ref="C25:G25"/>
    <mergeCell ref="C17:G17"/>
    <mergeCell ref="B3:G3"/>
    <mergeCell ref="B4:G4"/>
    <mergeCell ref="B5:G5"/>
    <mergeCell ref="B6:G6"/>
    <mergeCell ref="B7:G7"/>
  </mergeCells>
  <printOptions horizontalCentered="1"/>
  <pageMargins left="0.7" right="0.7" top="0.75" bottom="0.75" header="0.3" footer="0.3"/>
  <pageSetup scale="5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2.5" style="207" customWidth="1"/>
    <col min="5" max="5" width="18.625" style="207" customWidth="1"/>
    <col min="6" max="6" width="18.625" style="39" customWidth="1"/>
    <col min="7" max="7" width="10.25" style="39" customWidth="1"/>
    <col min="8" max="8" width="12.625"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383</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8" customFormat="1" ht="14.1">
      <c r="A7" s="37"/>
      <c r="B7" s="205"/>
      <c r="C7" s="206"/>
      <c r="D7" s="205"/>
      <c r="E7" s="205"/>
    </row>
    <row r="8" spans="1:7" ht="12.95">
      <c r="A8" s="47"/>
      <c r="C8" s="208"/>
      <c r="D8" s="202" t="s">
        <v>386</v>
      </c>
      <c r="E8" s="202"/>
      <c r="F8" s="41"/>
      <c r="G8" s="41"/>
    </row>
    <row r="9" spans="1:7" ht="20.45" customHeight="1">
      <c r="A9" s="47"/>
      <c r="C9" s="305" t="s">
        <v>387</v>
      </c>
      <c r="D9" s="305" t="s">
        <v>388</v>
      </c>
      <c r="E9" s="202"/>
      <c r="F9" s="41"/>
      <c r="G9" s="167"/>
    </row>
    <row r="10" spans="1:7" ht="45.6" customHeight="1">
      <c r="A10" s="29">
        <v>1</v>
      </c>
      <c r="C10" s="209" t="s">
        <v>389</v>
      </c>
      <c r="D10" s="180">
        <f t="shared" ref="D10:D15" si="0">VLOOKUP(A10,MAYO_BMT_AUT_ADULT,9,FALSE)</f>
        <v>6509</v>
      </c>
      <c r="E10" s="202"/>
      <c r="F10" s="41"/>
      <c r="G10" s="41"/>
    </row>
    <row r="11" spans="1:7" ht="45.6" customHeight="1">
      <c r="A11" s="29">
        <v>2</v>
      </c>
      <c r="C11" s="209" t="s">
        <v>390</v>
      </c>
      <c r="D11" s="180">
        <f t="shared" si="0"/>
        <v>16110</v>
      </c>
      <c r="E11" s="202"/>
      <c r="F11" s="41"/>
      <c r="G11" s="41"/>
    </row>
    <row r="12" spans="1:7" ht="45.6" customHeight="1">
      <c r="A12" s="29">
        <v>3</v>
      </c>
      <c r="C12" s="209" t="s">
        <v>391</v>
      </c>
      <c r="D12" s="180">
        <f t="shared" si="0"/>
        <v>120816</v>
      </c>
      <c r="E12" s="202"/>
      <c r="F12" s="41"/>
      <c r="G12" s="41"/>
    </row>
    <row r="13" spans="1:7" ht="45.6" customHeight="1">
      <c r="A13" s="29">
        <v>4</v>
      </c>
      <c r="C13" s="209" t="s">
        <v>392</v>
      </c>
      <c r="D13" s="180">
        <f t="shared" si="0"/>
        <v>30607</v>
      </c>
      <c r="E13" s="202"/>
      <c r="F13" s="41"/>
      <c r="G13" s="41"/>
    </row>
    <row r="14" spans="1:7" ht="45.6" customHeight="1">
      <c r="A14" s="29">
        <v>5</v>
      </c>
      <c r="C14" s="209" t="s">
        <v>393</v>
      </c>
      <c r="D14" s="180">
        <f t="shared" si="0"/>
        <v>11277</v>
      </c>
      <c r="E14" s="202"/>
      <c r="F14" s="41"/>
      <c r="G14" s="41"/>
    </row>
    <row r="15" spans="1:7" ht="52.5" customHeight="1">
      <c r="A15" s="29">
        <v>6</v>
      </c>
      <c r="C15" s="370" t="s">
        <v>517</v>
      </c>
      <c r="D15" s="375" t="str">
        <f t="shared" si="0"/>
        <v>Fee For Service rates</v>
      </c>
      <c r="E15" s="211"/>
    </row>
    <row r="16" spans="1:7" ht="35.1" customHeight="1">
      <c r="A16" s="47"/>
      <c r="C16" s="306" t="s">
        <v>394</v>
      </c>
      <c r="D16" s="357">
        <f>SUM(D10:D15)</f>
        <v>185319</v>
      </c>
      <c r="E16" s="208"/>
      <c r="F16" s="40"/>
      <c r="G16" s="40"/>
    </row>
    <row r="17" spans="1:9" ht="21" customHeight="1">
      <c r="A17" s="47"/>
      <c r="C17" s="358"/>
      <c r="D17" s="215"/>
    </row>
    <row r="18" spans="1:9" ht="45.6" customHeight="1">
      <c r="A18" s="29">
        <v>7</v>
      </c>
      <c r="C18" s="209" t="s">
        <v>395</v>
      </c>
      <c r="D18" s="180">
        <f>VLOOKUP(A18,MAYO_BMT_AUT_ADULT,9,FALSE)</f>
        <v>2554</v>
      </c>
      <c r="E18" s="202"/>
      <c r="F18" s="41"/>
      <c r="G18" s="41"/>
    </row>
    <row r="19" spans="1:9" ht="54" customHeight="1">
      <c r="A19" s="29">
        <v>8</v>
      </c>
      <c r="C19" s="209" t="s">
        <v>396</v>
      </c>
      <c r="D19" s="505">
        <f>VLOOKUP(A19,MAYO_BMT_AUT_ADULT,9,FALSE)</f>
        <v>8014.1928120000002</v>
      </c>
      <c r="E19" s="202"/>
      <c r="F19" s="41"/>
      <c r="G19" s="41"/>
    </row>
    <row r="20" spans="1:9" ht="25.5" customHeight="1">
      <c r="A20" s="29"/>
      <c r="D20" s="293"/>
    </row>
    <row r="21" spans="1:9" ht="45.75" customHeight="1">
      <c r="A21" s="47"/>
      <c r="C21" s="598" t="s">
        <v>518</v>
      </c>
      <c r="D21" s="599"/>
      <c r="E21" s="599"/>
      <c r="F21" s="599"/>
      <c r="G21" s="600"/>
    </row>
    <row r="22" spans="1:9" ht="18.95" customHeight="1">
      <c r="A22" s="47"/>
      <c r="C22" s="218"/>
    </row>
    <row r="23" spans="1:9" ht="60.6" customHeight="1">
      <c r="A23" s="47"/>
      <c r="C23" s="567" t="s">
        <v>417</v>
      </c>
      <c r="D23" s="568"/>
      <c r="E23" s="568"/>
      <c r="F23" s="568"/>
      <c r="G23" s="569"/>
    </row>
    <row r="24" spans="1:9" ht="16.5" customHeight="1">
      <c r="A24" s="47"/>
    </row>
    <row r="25" spans="1:9" ht="36.75" customHeight="1">
      <c r="A25" s="47"/>
      <c r="C25" s="567" t="s">
        <v>398</v>
      </c>
      <c r="D25" s="568"/>
      <c r="E25" s="568"/>
      <c r="F25" s="568"/>
      <c r="G25" s="569"/>
      <c r="H25" s="48"/>
      <c r="I25" s="48"/>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2P7A7PdN4c/3FVyO0y8GzirWnZQCS3DhXaNvdgl1c2tRzQO0vPHGVL9sb02t4TET5k5IQshmk4geCgYWz/AtGQ==" saltValue="JqkbkrPMslJUn71HAPJb+Q==" spinCount="100000" sheet="1" objects="1" scenarios="1"/>
  <mergeCells count="7">
    <mergeCell ref="C25:G25"/>
    <mergeCell ref="C23:G23"/>
    <mergeCell ref="B3:G3"/>
    <mergeCell ref="B4:G4"/>
    <mergeCell ref="B5:G5"/>
    <mergeCell ref="B6:G6"/>
    <mergeCell ref="C21:G21"/>
  </mergeCells>
  <printOptions horizontalCentered="1"/>
  <pageMargins left="0.25" right="0.25" top="0.25" bottom="0.25" header="0.25" footer="0.25"/>
  <pageSetup scale="67"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5">
    <tabColor theme="6"/>
    <pageSetUpPr fitToPage="1"/>
  </sheetPr>
  <dimension ref="A1:L35"/>
  <sheetViews>
    <sheetView showGridLines="0" topLeftCell="B2" zoomScale="90" zoomScaleNormal="90" zoomScaleSheetLayoutView="70" workbookViewId="0">
      <selection activeCell="B5" sqref="B5:G5"/>
    </sheetView>
  </sheetViews>
  <sheetFormatPr defaultColWidth="9" defaultRowHeight="12.6"/>
  <cols>
    <col min="1" max="1" width="30.625" style="30" hidden="1" customWidth="1"/>
    <col min="2" max="2" width="6.625" style="203" customWidth="1"/>
    <col min="3" max="3" width="64" style="203" customWidth="1"/>
    <col min="4" max="4" width="24" style="203" customWidth="1"/>
    <col min="5" max="5" width="18.625" style="203" customWidth="1"/>
    <col min="6" max="6" width="18.625" style="30" customWidth="1"/>
    <col min="7" max="7" width="12.625" style="30" customWidth="1"/>
    <col min="8" max="8" width="9" style="30" customWidth="1"/>
    <col min="9" max="16384" width="9" style="30"/>
  </cols>
  <sheetData>
    <row r="1" spans="1:12" s="493" customFormat="1" ht="20.100000000000001" hidden="1" customHeight="1">
      <c r="A1" s="481" t="e" cm="1">
        <f t="array" aca="1" ref="A1" ca="1">MID(CELL("filename",A1),FIND("]",CELL("filename",A1))+1,255)</f>
        <v>#VALUE!</v>
      </c>
      <c r="B1" s="492"/>
      <c r="C1" s="29">
        <v>3</v>
      </c>
      <c r="D1" s="29">
        <v>4</v>
      </c>
    </row>
    <row r="2" spans="1:12">
      <c r="A2" s="28"/>
    </row>
    <row r="3" spans="1:12" s="33" customFormat="1" ht="19.899999999999999" customHeight="1">
      <c r="A3" s="31"/>
      <c r="B3" s="570" t="s">
        <v>515</v>
      </c>
      <c r="C3" s="570"/>
      <c r="D3" s="570"/>
      <c r="E3" s="570"/>
      <c r="F3" s="570"/>
      <c r="G3" s="570"/>
    </row>
    <row r="4" spans="1:12" s="33" customFormat="1" ht="19.899999999999999" customHeight="1">
      <c r="A4" s="31"/>
      <c r="B4" s="570" t="s">
        <v>400</v>
      </c>
      <c r="C4" s="570"/>
      <c r="D4" s="570"/>
      <c r="E4" s="570"/>
      <c r="F4" s="570"/>
      <c r="G4" s="570"/>
    </row>
    <row r="5" spans="1:12" s="33" customFormat="1" ht="19.899999999999999" customHeight="1">
      <c r="A5" s="31"/>
      <c r="B5" s="571" t="s">
        <v>473</v>
      </c>
      <c r="C5" s="571"/>
      <c r="D5" s="571"/>
      <c r="E5" s="571"/>
      <c r="F5" s="571"/>
      <c r="G5" s="571"/>
    </row>
    <row r="6" spans="1:12" s="33" customFormat="1" ht="19.899999999999999" customHeight="1">
      <c r="A6" s="31"/>
      <c r="B6" s="570" t="s">
        <v>516</v>
      </c>
      <c r="C6" s="570"/>
      <c r="D6" s="570"/>
      <c r="E6" s="570"/>
      <c r="F6" s="570"/>
      <c r="G6" s="570"/>
    </row>
    <row r="7" spans="1:12" s="38" customFormat="1" ht="14.1">
      <c r="A7" s="37"/>
      <c r="B7" s="205"/>
      <c r="C7" s="206"/>
      <c r="D7" s="304"/>
      <c r="E7" s="304"/>
      <c r="F7" s="92"/>
      <c r="G7" s="92"/>
    </row>
    <row r="8" spans="1:12" s="39" customFormat="1" ht="12.95">
      <c r="A8" s="47"/>
      <c r="B8" s="207"/>
      <c r="C8" s="208"/>
      <c r="D8" s="202" t="s">
        <v>386</v>
      </c>
      <c r="E8" s="202"/>
      <c r="F8" s="41"/>
      <c r="G8" s="41"/>
      <c r="H8" s="30"/>
      <c r="I8" s="30"/>
      <c r="J8" s="30"/>
      <c r="K8" s="30"/>
      <c r="L8" s="30"/>
    </row>
    <row r="9" spans="1:12" s="39" customFormat="1" ht="17.45" customHeight="1">
      <c r="A9" s="47"/>
      <c r="B9" s="207"/>
      <c r="C9" s="305" t="s">
        <v>387</v>
      </c>
      <c r="D9" s="305" t="s">
        <v>388</v>
      </c>
      <c r="E9" s="202"/>
      <c r="F9" s="41"/>
      <c r="G9" s="167"/>
      <c r="H9" s="30"/>
      <c r="I9" s="30"/>
      <c r="J9" s="30"/>
      <c r="K9" s="30"/>
      <c r="L9" s="30"/>
    </row>
    <row r="10" spans="1:12" s="39" customFormat="1" ht="46.5" customHeight="1">
      <c r="A10" s="29">
        <v>1</v>
      </c>
      <c r="B10" s="207"/>
      <c r="C10" s="209" t="s">
        <v>389</v>
      </c>
      <c r="D10" s="181">
        <f t="shared" ref="D10:D16" si="0">VLOOKUP(A10,MAYO_BMT_ALLO_REL_ADULT,9,FALSE)</f>
        <v>6554</v>
      </c>
      <c r="E10" s="202"/>
      <c r="F10" s="41"/>
      <c r="G10" s="41"/>
      <c r="H10" s="30"/>
      <c r="I10" s="30"/>
      <c r="J10" s="30"/>
      <c r="K10" s="30"/>
      <c r="L10" s="30"/>
    </row>
    <row r="11" spans="1:12" s="39" customFormat="1" ht="35.1" customHeight="1">
      <c r="A11" s="29">
        <v>2</v>
      </c>
      <c r="B11" s="207"/>
      <c r="C11" s="219" t="s">
        <v>519</v>
      </c>
      <c r="D11" s="181">
        <f t="shared" si="0"/>
        <v>6988</v>
      </c>
      <c r="E11" s="211"/>
      <c r="H11" s="30"/>
      <c r="I11" s="30"/>
      <c r="J11" s="30"/>
      <c r="K11" s="30"/>
      <c r="L11" s="30"/>
    </row>
    <row r="12" spans="1:12" s="39" customFormat="1" ht="45" customHeight="1">
      <c r="A12" s="29">
        <v>3</v>
      </c>
      <c r="B12" s="207"/>
      <c r="C12" s="230" t="s">
        <v>520</v>
      </c>
      <c r="D12" s="181">
        <f t="shared" si="0"/>
        <v>17467</v>
      </c>
      <c r="E12" s="211"/>
      <c r="H12" s="30"/>
      <c r="I12" s="30"/>
      <c r="J12" s="30"/>
      <c r="K12" s="30"/>
      <c r="L12" s="30"/>
    </row>
    <row r="13" spans="1:12" s="39" customFormat="1" ht="35.1" customHeight="1">
      <c r="A13" s="29">
        <v>4</v>
      </c>
      <c r="B13" s="207"/>
      <c r="C13" s="216" t="s">
        <v>391</v>
      </c>
      <c r="D13" s="181">
        <f t="shared" si="0"/>
        <v>52421</v>
      </c>
      <c r="E13" s="211"/>
      <c r="H13" s="30"/>
      <c r="I13" s="30"/>
      <c r="J13" s="30"/>
      <c r="K13" s="30"/>
      <c r="L13" s="30"/>
    </row>
    <row r="14" spans="1:12" s="39" customFormat="1" ht="48" customHeight="1">
      <c r="A14" s="29">
        <v>5</v>
      </c>
      <c r="B14" s="207"/>
      <c r="C14" s="230" t="s">
        <v>392</v>
      </c>
      <c r="D14" s="181">
        <f t="shared" si="0"/>
        <v>96104</v>
      </c>
      <c r="E14" s="211"/>
      <c r="H14" s="30"/>
      <c r="I14" s="30"/>
      <c r="J14" s="30"/>
      <c r="K14" s="30"/>
      <c r="L14" s="30"/>
    </row>
    <row r="15" spans="1:12" s="39" customFormat="1" ht="35.1" customHeight="1">
      <c r="A15" s="29">
        <v>6</v>
      </c>
      <c r="B15" s="207"/>
      <c r="C15" s="230" t="s">
        <v>393</v>
      </c>
      <c r="D15" s="181">
        <f t="shared" si="0"/>
        <v>20967</v>
      </c>
      <c r="E15" s="211"/>
      <c r="H15" s="30"/>
      <c r="I15" s="30"/>
      <c r="J15" s="30"/>
      <c r="K15" s="30"/>
      <c r="L15" s="30"/>
    </row>
    <row r="16" spans="1:12" s="39" customFormat="1" ht="45" customHeight="1">
      <c r="A16" s="29">
        <v>7</v>
      </c>
      <c r="B16" s="207"/>
      <c r="C16" s="370" t="s">
        <v>517</v>
      </c>
      <c r="D16" s="371" t="str">
        <f t="shared" si="0"/>
        <v>Fee For Service rates</v>
      </c>
      <c r="E16" s="211"/>
      <c r="H16" s="30"/>
      <c r="I16" s="30"/>
      <c r="J16" s="30"/>
      <c r="K16" s="30"/>
      <c r="L16" s="30"/>
    </row>
    <row r="17" spans="1:12" s="39" customFormat="1" ht="35.1" customHeight="1">
      <c r="A17" s="47"/>
      <c r="B17" s="203"/>
      <c r="C17" s="306" t="s">
        <v>521</v>
      </c>
      <c r="D17" s="357">
        <f>SUM(D10:D16)</f>
        <v>200501</v>
      </c>
      <c r="E17" s="208"/>
      <c r="F17" s="40"/>
      <c r="G17" s="40"/>
      <c r="H17" s="30"/>
      <c r="I17" s="30"/>
      <c r="J17" s="30"/>
      <c r="K17" s="30"/>
      <c r="L17" s="30"/>
    </row>
    <row r="18" spans="1:12" s="39" customFormat="1" ht="22.5" customHeight="1">
      <c r="A18" s="47"/>
      <c r="B18" s="203"/>
      <c r="C18" s="358"/>
      <c r="D18" s="215"/>
      <c r="E18" s="207"/>
      <c r="H18" s="30"/>
      <c r="I18" s="30"/>
      <c r="J18" s="30"/>
      <c r="K18" s="30"/>
      <c r="L18" s="30"/>
    </row>
    <row r="19" spans="1:12" s="39" customFormat="1" ht="54.6" customHeight="1">
      <c r="A19" s="29">
        <v>8</v>
      </c>
      <c r="B19" s="207"/>
      <c r="C19" s="216" t="s">
        <v>395</v>
      </c>
      <c r="D19" s="182">
        <f>VLOOKUP(A19,MAYO_BMT_ALLO_REL_ADULT,9,FALSE)</f>
        <v>2554</v>
      </c>
      <c r="E19" s="203"/>
      <c r="F19" s="30"/>
      <c r="G19" s="30"/>
    </row>
    <row r="20" spans="1:12" s="39" customFormat="1" ht="55.5" customHeight="1">
      <c r="A20" s="29">
        <v>9</v>
      </c>
      <c r="B20" s="207"/>
      <c r="C20" s="52" t="s">
        <v>396</v>
      </c>
      <c r="D20" s="225">
        <f>VLOOKUP(A20,MAYO_BMT_ALLO_REL_ADULT,9,FALSE)</f>
        <v>8014.1928120000002</v>
      </c>
      <c r="E20" s="207"/>
    </row>
    <row r="21" spans="1:12" s="39" customFormat="1" ht="21.6" customHeight="1">
      <c r="A21" s="47"/>
      <c r="B21" s="203"/>
      <c r="C21" s="207"/>
      <c r="D21" s="293"/>
      <c r="E21" s="207"/>
      <c r="H21" s="30"/>
      <c r="I21" s="30"/>
      <c r="J21" s="30"/>
      <c r="K21" s="30"/>
      <c r="L21" s="30"/>
    </row>
    <row r="22" spans="1:12" s="38" customFormat="1" ht="65.45" customHeight="1">
      <c r="A22" s="37"/>
      <c r="B22" s="205"/>
      <c r="C22" s="567" t="s">
        <v>455</v>
      </c>
      <c r="D22" s="568"/>
      <c r="E22" s="568"/>
      <c r="F22" s="568"/>
      <c r="G22" s="569"/>
    </row>
    <row r="23" spans="1:12" s="39" customFormat="1">
      <c r="A23" s="47"/>
      <c r="B23" s="203"/>
      <c r="C23" s="218"/>
      <c r="D23" s="207"/>
      <c r="E23" s="207"/>
      <c r="H23" s="30"/>
      <c r="I23" s="30"/>
      <c r="J23" s="30"/>
      <c r="K23" s="30"/>
      <c r="L23" s="30"/>
    </row>
    <row r="24" spans="1:12" s="39" customFormat="1" ht="45.75" customHeight="1">
      <c r="A24" s="47"/>
      <c r="B24" s="207"/>
      <c r="C24" s="598" t="s">
        <v>518</v>
      </c>
      <c r="D24" s="599"/>
      <c r="E24" s="599"/>
      <c r="F24" s="599"/>
      <c r="G24" s="600"/>
    </row>
    <row r="25" spans="1:12">
      <c r="A25" s="28"/>
    </row>
    <row r="26" spans="1:12" s="39" customFormat="1" ht="36.75" customHeight="1">
      <c r="A26" s="47"/>
      <c r="B26" s="207"/>
      <c r="C26" s="567" t="s">
        <v>398</v>
      </c>
      <c r="D26" s="568"/>
      <c r="E26" s="568"/>
      <c r="F26" s="568"/>
      <c r="G26" s="569"/>
      <c r="H26" s="48"/>
      <c r="I26" s="48"/>
    </row>
    <row r="27" spans="1:12">
      <c r="A27" s="28"/>
    </row>
    <row r="28" spans="1:12">
      <c r="A28" s="28"/>
    </row>
    <row r="29" spans="1:12">
      <c r="A29" s="28"/>
    </row>
    <row r="30" spans="1:12">
      <c r="A30" s="28"/>
    </row>
    <row r="31" spans="1:12">
      <c r="A31" s="28"/>
    </row>
    <row r="32" spans="1:12">
      <c r="A32" s="28"/>
    </row>
    <row r="33" spans="1:1">
      <c r="A33" s="28"/>
    </row>
    <row r="34" spans="1:1">
      <c r="A34" s="28"/>
    </row>
    <row r="35" spans="1:1">
      <c r="A35" s="28"/>
    </row>
  </sheetData>
  <sheetProtection algorithmName="SHA-512" hashValue="WvjmT0RIMA2BtrmC+rvNq7xuDm4AlcupEyvGjbAuXKNYKxLkNRrcttmfmKRStLnk8k9lEtVgalHkNfrgZ/nBDg==" saltValue="vLbZ+lazQLrt+EQbMpP35A==" spinCount="100000" sheet="1" objects="1" scenarios="1"/>
  <mergeCells count="7">
    <mergeCell ref="C26:G26"/>
    <mergeCell ref="C22:G22"/>
    <mergeCell ref="B3:G3"/>
    <mergeCell ref="B4:G4"/>
    <mergeCell ref="B5:G5"/>
    <mergeCell ref="B6:G6"/>
    <mergeCell ref="C24:G24"/>
  </mergeCells>
  <printOptions horizontalCentered="1"/>
  <pageMargins left="0.25" right="0.25" top="0.25" bottom="0.25" header="0.25" footer="0.25"/>
  <pageSetup scale="67"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3.625" style="207" customWidth="1"/>
    <col min="5" max="5" width="18.6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405</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5.6">
      <c r="A7" s="31"/>
      <c r="B7" s="204"/>
      <c r="C7" s="204"/>
      <c r="D7" s="204"/>
      <c r="E7" s="204"/>
      <c r="F7" s="32"/>
      <c r="G7" s="32"/>
    </row>
    <row r="8" spans="1:7" ht="12.95">
      <c r="A8" s="47"/>
      <c r="C8" s="208"/>
      <c r="D8" s="291" t="s">
        <v>386</v>
      </c>
      <c r="E8" s="202"/>
      <c r="F8" s="41"/>
      <c r="G8" s="41"/>
    </row>
    <row r="9" spans="1:7" ht="18.600000000000001" customHeight="1">
      <c r="A9" s="47"/>
      <c r="C9" s="305" t="s">
        <v>387</v>
      </c>
      <c r="D9" s="305" t="s">
        <v>388</v>
      </c>
      <c r="E9" s="202"/>
      <c r="F9" s="41"/>
      <c r="G9" s="167"/>
    </row>
    <row r="10" spans="1:7" ht="49.5" customHeight="1">
      <c r="A10" s="29">
        <v>1</v>
      </c>
      <c r="C10" s="209" t="s">
        <v>389</v>
      </c>
      <c r="D10" s="182">
        <f t="shared" ref="D10:D16" si="0">VLOOKUP(A10,MAYO_HAPLOID_BMT_ADULT,9,FALSE)</f>
        <v>6652</v>
      </c>
      <c r="E10" s="202"/>
      <c r="F10" s="41"/>
      <c r="G10" s="41"/>
    </row>
    <row r="11" spans="1:7" ht="35.1" customHeight="1">
      <c r="A11" s="29">
        <v>2</v>
      </c>
      <c r="C11" s="219" t="s">
        <v>522</v>
      </c>
      <c r="D11" s="182">
        <f t="shared" si="0"/>
        <v>10260</v>
      </c>
      <c r="E11" s="211"/>
    </row>
    <row r="12" spans="1:7" ht="45" customHeight="1">
      <c r="A12" s="29">
        <v>3</v>
      </c>
      <c r="C12" s="230" t="s">
        <v>523</v>
      </c>
      <c r="D12" s="182">
        <f t="shared" si="0"/>
        <v>17467</v>
      </c>
      <c r="E12" s="211"/>
    </row>
    <row r="13" spans="1:7" ht="35.1" customHeight="1">
      <c r="A13" s="29">
        <v>4</v>
      </c>
      <c r="C13" s="216" t="s">
        <v>391</v>
      </c>
      <c r="D13" s="182">
        <f t="shared" si="0"/>
        <v>51292</v>
      </c>
      <c r="E13" s="211"/>
    </row>
    <row r="14" spans="1:7" ht="35.1" customHeight="1">
      <c r="A14" s="29">
        <v>5</v>
      </c>
      <c r="C14" s="230" t="s">
        <v>392</v>
      </c>
      <c r="D14" s="182">
        <f t="shared" si="0"/>
        <v>114553</v>
      </c>
      <c r="E14" s="211"/>
    </row>
    <row r="15" spans="1:7" ht="35.1" customHeight="1">
      <c r="A15" s="29">
        <v>6</v>
      </c>
      <c r="C15" s="230" t="s">
        <v>393</v>
      </c>
      <c r="D15" s="182">
        <f t="shared" si="0"/>
        <v>34196</v>
      </c>
      <c r="E15" s="211"/>
    </row>
    <row r="16" spans="1:7" ht="49.5" customHeight="1">
      <c r="A16" s="29">
        <v>7</v>
      </c>
      <c r="C16" s="370" t="s">
        <v>517</v>
      </c>
      <c r="D16" s="371" t="str">
        <f t="shared" si="0"/>
        <v>Fee For Service rates</v>
      </c>
      <c r="E16" s="211"/>
    </row>
    <row r="17" spans="1:9" ht="35.1" customHeight="1">
      <c r="A17" s="47"/>
      <c r="C17" s="306" t="s">
        <v>408</v>
      </c>
      <c r="D17" s="363">
        <f>SUM(D10:D16)</f>
        <v>234420</v>
      </c>
      <c r="E17" s="208"/>
      <c r="F17" s="40"/>
      <c r="G17" s="40"/>
    </row>
    <row r="18" spans="1:9" ht="27" customHeight="1">
      <c r="A18" s="47"/>
      <c r="C18" s="358"/>
      <c r="D18" s="215"/>
    </row>
    <row r="19" spans="1:9" ht="54.6" customHeight="1">
      <c r="A19" s="29">
        <v>8</v>
      </c>
      <c r="C19" s="216" t="s">
        <v>395</v>
      </c>
      <c r="D19" s="182">
        <f>VLOOKUP(A19,MAYO_HAPLOID_BMT_ADULT,9,FALSE)</f>
        <v>2554</v>
      </c>
      <c r="E19" s="203"/>
      <c r="F19" s="30"/>
      <c r="G19" s="30"/>
    </row>
    <row r="20" spans="1:9" ht="55.5" customHeight="1">
      <c r="A20" s="29">
        <v>9</v>
      </c>
      <c r="C20" s="52" t="s">
        <v>396</v>
      </c>
      <c r="D20" s="225">
        <f>VLOOKUP(A20,MAYO_HAPLOID_BMT_ADULT,9,FALSE)</f>
        <v>8014.1928120000002</v>
      </c>
    </row>
    <row r="21" spans="1:9">
      <c r="A21" s="47"/>
      <c r="C21" s="203"/>
      <c r="D21" s="372"/>
    </row>
    <row r="22" spans="1:9">
      <c r="A22" s="47"/>
      <c r="D22" s="372"/>
    </row>
    <row r="23" spans="1:9" s="33" customFormat="1" ht="60.6" customHeight="1">
      <c r="A23" s="31"/>
      <c r="B23" s="204"/>
      <c r="C23" s="567" t="s">
        <v>455</v>
      </c>
      <c r="D23" s="568"/>
      <c r="E23" s="568"/>
      <c r="F23" s="568"/>
      <c r="G23" s="569"/>
    </row>
    <row r="24" spans="1:9">
      <c r="A24" s="47"/>
      <c r="C24" s="218"/>
    </row>
    <row r="25" spans="1:9" ht="36.75" customHeight="1">
      <c r="A25" s="47"/>
      <c r="C25" s="567" t="s">
        <v>398</v>
      </c>
      <c r="D25" s="568"/>
      <c r="E25" s="568"/>
      <c r="F25" s="568"/>
      <c r="G25" s="569"/>
      <c r="H25" s="48"/>
      <c r="I25" s="48"/>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n20YSYn+2Fjj5yweMnTml/e7F1wAQ9FW3IxC8BtiInlwymEwxIzB7asEpvv6todPtyejo3zKOOA0HOyRzuusFg==" saltValue="gLRcs114b5FPni3CoFrlmg=="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71"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32.625" style="207" customWidth="1"/>
    <col min="5" max="5" width="18.6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524</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5.6">
      <c r="A7" s="31"/>
      <c r="B7" s="204"/>
      <c r="C7" s="204"/>
      <c r="D7" s="204"/>
      <c r="E7" s="204"/>
      <c r="F7" s="32"/>
      <c r="G7" s="32"/>
    </row>
    <row r="8" spans="1:7" ht="12.95">
      <c r="A8" s="47"/>
      <c r="C8" s="208"/>
      <c r="D8" s="291" t="s">
        <v>386</v>
      </c>
      <c r="E8" s="202"/>
      <c r="F8" s="41"/>
      <c r="G8" s="41"/>
    </row>
    <row r="9" spans="1:7" ht="40.9" customHeight="1">
      <c r="A9" s="47"/>
      <c r="C9" s="305" t="s">
        <v>387</v>
      </c>
      <c r="D9" s="305" t="s">
        <v>388</v>
      </c>
      <c r="E9" s="202"/>
      <c r="F9" s="41"/>
      <c r="G9" s="167"/>
    </row>
    <row r="10" spans="1:7" ht="45" customHeight="1">
      <c r="A10" s="29">
        <v>1</v>
      </c>
      <c r="C10" s="209" t="s">
        <v>389</v>
      </c>
      <c r="D10" s="181">
        <f t="shared" ref="D10:D16" si="0">VLOOKUP(A10,MAYO_BMT_ALLO_UNR_ADUL,9,FALSE)</f>
        <v>6797</v>
      </c>
      <c r="E10" s="202"/>
      <c r="F10" s="41"/>
      <c r="G10" s="41"/>
    </row>
    <row r="11" spans="1:7" ht="35.1" customHeight="1">
      <c r="A11" s="29">
        <v>2</v>
      </c>
      <c r="C11" s="216" t="s">
        <v>414</v>
      </c>
      <c r="D11" s="181">
        <f t="shared" si="0"/>
        <v>10485</v>
      </c>
      <c r="E11" s="211"/>
    </row>
    <row r="12" spans="1:7" ht="45" customHeight="1">
      <c r="A12" s="29">
        <v>3</v>
      </c>
      <c r="C12" s="230" t="s">
        <v>523</v>
      </c>
      <c r="D12" s="181" t="str">
        <f t="shared" si="0"/>
        <v>NBMD or Cord blood Invoice Cost</v>
      </c>
      <c r="E12" s="211"/>
    </row>
    <row r="13" spans="1:7" ht="35.1" customHeight="1">
      <c r="A13" s="29">
        <v>4</v>
      </c>
      <c r="C13" s="216" t="s">
        <v>391</v>
      </c>
      <c r="D13" s="181">
        <f t="shared" si="0"/>
        <v>52421</v>
      </c>
      <c r="E13" s="211"/>
    </row>
    <row r="14" spans="1:7" ht="35.1" customHeight="1">
      <c r="A14" s="29">
        <v>5</v>
      </c>
      <c r="C14" s="230" t="s">
        <v>392</v>
      </c>
      <c r="D14" s="181">
        <f t="shared" si="0"/>
        <v>117075</v>
      </c>
      <c r="E14" s="211"/>
    </row>
    <row r="15" spans="1:7" ht="35.1" customHeight="1">
      <c r="A15" s="29">
        <v>6</v>
      </c>
      <c r="C15" s="230" t="s">
        <v>393</v>
      </c>
      <c r="D15" s="181">
        <f t="shared" si="0"/>
        <v>34948</v>
      </c>
      <c r="E15" s="211"/>
    </row>
    <row r="16" spans="1:7" ht="42.75" customHeight="1">
      <c r="A16" s="29">
        <v>7</v>
      </c>
      <c r="C16" s="370" t="s">
        <v>517</v>
      </c>
      <c r="D16" s="371" t="str">
        <f t="shared" si="0"/>
        <v>Fee For Service rates</v>
      </c>
      <c r="E16" s="211"/>
    </row>
    <row r="17" spans="1:9" ht="38.1" customHeight="1">
      <c r="A17" s="47"/>
      <c r="C17" s="306" t="s">
        <v>525</v>
      </c>
      <c r="D17" s="357">
        <f>SUM(D10:D15)</f>
        <v>221726</v>
      </c>
      <c r="E17" s="208"/>
      <c r="F17" s="40"/>
      <c r="G17" s="40"/>
    </row>
    <row r="18" spans="1:9" ht="12.95" customHeight="1">
      <c r="A18" s="47"/>
      <c r="C18" s="358"/>
      <c r="D18" s="215"/>
    </row>
    <row r="19" spans="1:9" ht="48.95" customHeight="1">
      <c r="A19" s="29">
        <v>8</v>
      </c>
      <c r="C19" s="216" t="s">
        <v>395</v>
      </c>
      <c r="D19" s="182">
        <f>VLOOKUP(A19,MAYO_BMT_ALLO_UNR_ADUL,9,FALSE)</f>
        <v>2554</v>
      </c>
      <c r="E19" s="203"/>
      <c r="F19" s="30"/>
      <c r="G19" s="30"/>
    </row>
    <row r="20" spans="1:9" ht="55.5" customHeight="1">
      <c r="A20" s="29">
        <v>9</v>
      </c>
      <c r="C20" s="52" t="s">
        <v>396</v>
      </c>
      <c r="D20" s="225">
        <f>VLOOKUP(A20,MAYO_BMT_ALLO_UNR_ADUL,9,FALSE)</f>
        <v>8014.1928120000002</v>
      </c>
    </row>
    <row r="21" spans="1:9">
      <c r="A21" s="47"/>
      <c r="C21" s="203"/>
      <c r="D21" s="372"/>
    </row>
    <row r="22" spans="1:9">
      <c r="A22" s="47"/>
      <c r="D22" s="372"/>
    </row>
    <row r="23" spans="1:9" s="33" customFormat="1" ht="54.75" customHeight="1">
      <c r="A23" s="31"/>
      <c r="B23" s="204"/>
      <c r="C23" s="567" t="s">
        <v>417</v>
      </c>
      <c r="D23" s="568"/>
      <c r="E23" s="568"/>
      <c r="F23" s="568"/>
      <c r="G23" s="569"/>
    </row>
    <row r="24" spans="1:9">
      <c r="A24" s="47"/>
      <c r="C24" s="218"/>
    </row>
    <row r="25" spans="1:9" ht="36.75" customHeight="1">
      <c r="A25" s="47"/>
      <c r="C25" s="567" t="s">
        <v>398</v>
      </c>
      <c r="D25" s="568"/>
      <c r="E25" s="568"/>
      <c r="F25" s="568"/>
      <c r="G25" s="569"/>
      <c r="H25" s="48"/>
      <c r="I25" s="48"/>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6zURQNwdqKxndRJwWQeN4MXC3jpwmTLth8N/DLq/csdrDN0a9HjLvzTlqZ8QELgsPDkjqlZuqLcJcDuNR214ow==" saltValue="gkLTFuuwDRLWFEQ3RPlTVw=="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72"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8">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7.875" style="207" customWidth="1"/>
    <col min="5" max="5" width="18.625" style="207" customWidth="1"/>
    <col min="6" max="6" width="18.625" style="39" customWidth="1"/>
    <col min="7" max="7" width="10.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526</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8" customFormat="1" ht="14.1">
      <c r="A7" s="37"/>
      <c r="B7" s="205"/>
      <c r="C7" s="206"/>
      <c r="D7" s="205"/>
      <c r="E7" s="205"/>
    </row>
    <row r="8" spans="1:7" ht="12.95">
      <c r="A8" s="47"/>
      <c r="C8" s="208"/>
      <c r="D8" s="202" t="s">
        <v>527</v>
      </c>
      <c r="E8" s="202"/>
      <c r="F8" s="41"/>
      <c r="G8" s="41"/>
    </row>
    <row r="9" spans="1:7" ht="40.15" customHeight="1">
      <c r="A9" s="47"/>
      <c r="C9" s="305" t="s">
        <v>387</v>
      </c>
      <c r="D9" s="305" t="s">
        <v>388</v>
      </c>
      <c r="E9" s="202"/>
      <c r="F9" s="41"/>
      <c r="G9" s="167"/>
    </row>
    <row r="10" spans="1:7" ht="48" customHeight="1">
      <c r="A10" s="29">
        <v>1</v>
      </c>
      <c r="C10" s="209" t="s">
        <v>389</v>
      </c>
      <c r="D10" s="181">
        <f t="shared" ref="D10:D15" si="0">VLOOKUP(A10,MAYO_BMT_AUT_PED,9,FALSE)</f>
        <v>6509</v>
      </c>
      <c r="E10" s="202"/>
      <c r="F10" s="41"/>
      <c r="G10" s="41"/>
    </row>
    <row r="11" spans="1:7" ht="35.1" customHeight="1">
      <c r="A11" s="29">
        <v>2</v>
      </c>
      <c r="C11" s="216" t="s">
        <v>390</v>
      </c>
      <c r="D11" s="181">
        <f t="shared" si="0"/>
        <v>16519</v>
      </c>
      <c r="E11" s="211"/>
    </row>
    <row r="12" spans="1:7" ht="35.1" customHeight="1">
      <c r="A12" s="29">
        <v>3</v>
      </c>
      <c r="C12" s="216" t="s">
        <v>391</v>
      </c>
      <c r="D12" s="181">
        <f t="shared" si="0"/>
        <v>120816</v>
      </c>
      <c r="E12" s="211"/>
    </row>
    <row r="13" spans="1:7" ht="35.1" customHeight="1">
      <c r="A13" s="29">
        <v>4</v>
      </c>
      <c r="C13" s="216" t="s">
        <v>392</v>
      </c>
      <c r="D13" s="181">
        <f t="shared" si="0"/>
        <v>30607</v>
      </c>
      <c r="E13" s="211"/>
    </row>
    <row r="14" spans="1:7" ht="35.1" customHeight="1">
      <c r="A14" s="29">
        <v>5</v>
      </c>
      <c r="C14" s="216" t="s">
        <v>393</v>
      </c>
      <c r="D14" s="181">
        <f t="shared" si="0"/>
        <v>11845</v>
      </c>
      <c r="E14" s="211"/>
    </row>
    <row r="15" spans="1:7" ht="48" customHeight="1">
      <c r="A15" s="29">
        <v>6</v>
      </c>
      <c r="C15" s="209" t="s">
        <v>517</v>
      </c>
      <c r="D15" s="181" t="str">
        <f t="shared" si="0"/>
        <v>Fee For Service rates</v>
      </c>
      <c r="E15" s="202"/>
      <c r="F15" s="41"/>
      <c r="G15" s="41"/>
    </row>
    <row r="16" spans="1:7" ht="35.1" customHeight="1">
      <c r="A16" s="47"/>
      <c r="C16" s="306" t="s">
        <v>394</v>
      </c>
      <c r="D16" s="357">
        <f>SUM(D10:D15)</f>
        <v>186296</v>
      </c>
      <c r="E16" s="208"/>
      <c r="F16" s="40"/>
      <c r="G16" s="40"/>
    </row>
    <row r="17" spans="1:9" ht="15.6" customHeight="1">
      <c r="A17" s="47"/>
      <c r="C17" s="358"/>
      <c r="D17" s="215"/>
    </row>
    <row r="18" spans="1:9" ht="43.5" customHeight="1">
      <c r="A18" s="29">
        <v>7</v>
      </c>
      <c r="C18" s="216" t="s">
        <v>395</v>
      </c>
      <c r="D18" s="182">
        <f>VLOOKUP(A18,MAYO_BMT_AUT_PED,9,FALSE)</f>
        <v>2554</v>
      </c>
      <c r="E18" s="203"/>
      <c r="F18" s="30"/>
      <c r="G18" s="30"/>
    </row>
    <row r="19" spans="1:9" ht="51.95" customHeight="1">
      <c r="A19" s="29">
        <v>8</v>
      </c>
      <c r="C19" s="52" t="s">
        <v>396</v>
      </c>
      <c r="D19" s="225">
        <f>VLOOKUP(A19,MAYO_BMT_AUT_PED,9,FALSE)</f>
        <v>8014.1928120000002</v>
      </c>
    </row>
    <row r="20" spans="1:9" ht="19.5" customHeight="1">
      <c r="A20" s="47"/>
      <c r="D20" s="293"/>
    </row>
    <row r="21" spans="1:9" ht="45.75" customHeight="1">
      <c r="A21" s="47"/>
      <c r="C21" s="598" t="s">
        <v>518</v>
      </c>
      <c r="D21" s="599"/>
      <c r="E21" s="599"/>
      <c r="F21" s="599"/>
      <c r="G21" s="600"/>
    </row>
    <row r="22" spans="1:9" ht="15" customHeight="1">
      <c r="A22" s="47"/>
      <c r="C22" s="218"/>
    </row>
    <row r="23" spans="1:9" ht="45.75" customHeight="1">
      <c r="A23" s="47"/>
      <c r="C23" s="567" t="s">
        <v>417</v>
      </c>
      <c r="D23" s="568"/>
      <c r="E23" s="568"/>
      <c r="F23" s="568"/>
      <c r="G23" s="569"/>
    </row>
    <row r="24" spans="1:9" ht="17.100000000000001" customHeight="1">
      <c r="A24" s="47"/>
    </row>
    <row r="25" spans="1:9" ht="36.75" customHeight="1">
      <c r="A25" s="47"/>
      <c r="C25" s="567" t="s">
        <v>398</v>
      </c>
      <c r="D25" s="568"/>
      <c r="E25" s="568"/>
      <c r="F25" s="568"/>
      <c r="G25" s="569"/>
      <c r="H25" s="48"/>
      <c r="I25" s="48"/>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tQrg4+GyiJq3gyqChNssMxztedZ+2SGVNpOGNPvVMrsXoiqWbkkzOozJIEvdWHi26zqKjfFBX1dyLN0P+yChag==" saltValue="qNhBHfTpQ75w1kdBH46Z3w==" spinCount="100000" sheet="1" objects="1" scenarios="1"/>
  <mergeCells count="7">
    <mergeCell ref="C25:G25"/>
    <mergeCell ref="C23:G23"/>
    <mergeCell ref="B3:G3"/>
    <mergeCell ref="B4:G4"/>
    <mergeCell ref="B5:G5"/>
    <mergeCell ref="B6:G6"/>
    <mergeCell ref="C21:G21"/>
  </mergeCells>
  <printOptions horizontalCentered="1"/>
  <pageMargins left="0.25" right="0.25" top="0.25" bottom="0.25" header="0.25" footer="0.25"/>
  <pageSetup scale="72"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9">
    <tabColor theme="6"/>
    <pageSetUpPr fitToPage="1"/>
  </sheetPr>
  <dimension ref="A1:L35"/>
  <sheetViews>
    <sheetView showGridLines="0" topLeftCell="B2" zoomScale="90" zoomScaleNormal="90" zoomScaleSheetLayoutView="70" workbookViewId="0">
      <selection activeCell="B5" sqref="B5:G5"/>
    </sheetView>
  </sheetViews>
  <sheetFormatPr defaultColWidth="9" defaultRowHeight="12.6"/>
  <cols>
    <col min="1" max="1" width="30.625" style="30" hidden="1" customWidth="1"/>
    <col min="2" max="2" width="6.625" style="203" customWidth="1"/>
    <col min="3" max="3" width="64" style="203" customWidth="1"/>
    <col min="4" max="4" width="24" style="203" customWidth="1"/>
    <col min="5" max="5" width="18.625" style="203" customWidth="1"/>
    <col min="6" max="6" width="18.625" style="30" customWidth="1"/>
    <col min="7" max="7" width="12.625" style="30" customWidth="1"/>
    <col min="8" max="8" width="9" style="30" customWidth="1"/>
    <col min="9" max="16384" width="9" style="30"/>
  </cols>
  <sheetData>
    <row r="1" spans="1:12" s="493" customFormat="1" ht="20.100000000000001" hidden="1" customHeight="1">
      <c r="A1" s="481" t="e" cm="1">
        <f t="array" aca="1" ref="A1" ca="1">MID(CELL("filename",A1),FIND("]",CELL("filename",A1))+1,255)</f>
        <v>#VALUE!</v>
      </c>
      <c r="B1" s="492"/>
      <c r="C1" s="29">
        <v>3</v>
      </c>
      <c r="D1" s="29">
        <v>4</v>
      </c>
    </row>
    <row r="2" spans="1:12">
      <c r="A2" s="28"/>
    </row>
    <row r="3" spans="1:12" s="33" customFormat="1" ht="19.899999999999999" customHeight="1">
      <c r="A3" s="31"/>
      <c r="B3" s="570" t="s">
        <v>515</v>
      </c>
      <c r="C3" s="570"/>
      <c r="D3" s="570"/>
      <c r="E3" s="570"/>
      <c r="F3" s="570"/>
      <c r="G3" s="570"/>
    </row>
    <row r="4" spans="1:12" s="33" customFormat="1" ht="19.899999999999999" customHeight="1">
      <c r="A4" s="31"/>
      <c r="B4" s="570" t="s">
        <v>528</v>
      </c>
      <c r="C4" s="570"/>
      <c r="D4" s="570"/>
      <c r="E4" s="570"/>
      <c r="F4" s="570"/>
      <c r="G4" s="570"/>
    </row>
    <row r="5" spans="1:12" s="33" customFormat="1" ht="19.899999999999999" customHeight="1">
      <c r="A5" s="31"/>
      <c r="B5" s="571" t="s">
        <v>473</v>
      </c>
      <c r="C5" s="571"/>
      <c r="D5" s="571"/>
      <c r="E5" s="571"/>
      <c r="F5" s="571"/>
      <c r="G5" s="571"/>
    </row>
    <row r="6" spans="1:12" s="33" customFormat="1" ht="19.899999999999999" customHeight="1">
      <c r="A6" s="31"/>
      <c r="B6" s="570" t="s">
        <v>516</v>
      </c>
      <c r="C6" s="570"/>
      <c r="D6" s="570"/>
      <c r="E6" s="570"/>
      <c r="F6" s="570"/>
      <c r="G6" s="570"/>
    </row>
    <row r="7" spans="1:12" s="38" customFormat="1" ht="14.1">
      <c r="A7" s="37"/>
      <c r="B7" s="205"/>
      <c r="C7" s="206"/>
      <c r="D7" s="304"/>
      <c r="E7" s="304"/>
      <c r="F7" s="92"/>
      <c r="G7" s="92"/>
    </row>
    <row r="8" spans="1:12" s="39" customFormat="1" ht="12.95">
      <c r="A8" s="47"/>
      <c r="B8" s="207"/>
      <c r="C8" s="208"/>
      <c r="D8" s="202" t="s">
        <v>529</v>
      </c>
      <c r="E8" s="202"/>
      <c r="F8" s="41"/>
      <c r="G8" s="41"/>
      <c r="H8" s="30"/>
      <c r="I8" s="30"/>
      <c r="J8" s="30"/>
      <c r="K8" s="30"/>
      <c r="L8" s="30"/>
    </row>
    <row r="9" spans="1:12" s="39" customFormat="1" ht="39" customHeight="1">
      <c r="A9" s="47"/>
      <c r="B9" s="207"/>
      <c r="C9" s="305" t="s">
        <v>387</v>
      </c>
      <c r="D9" s="305" t="s">
        <v>388</v>
      </c>
      <c r="E9" s="202"/>
      <c r="F9" s="41"/>
      <c r="G9" s="167"/>
      <c r="H9" s="30"/>
      <c r="I9" s="30"/>
      <c r="J9" s="30"/>
      <c r="K9" s="30"/>
      <c r="L9" s="30"/>
    </row>
    <row r="10" spans="1:12" s="39" customFormat="1" ht="42" customHeight="1">
      <c r="A10" s="29">
        <v>1</v>
      </c>
      <c r="B10" s="207"/>
      <c r="C10" s="209" t="s">
        <v>389</v>
      </c>
      <c r="D10" s="181">
        <f t="shared" ref="D10:D16" si="0">VLOOKUP(A10,MAYO_BMT_ALLO_REL_PED,9,FALSE)</f>
        <v>6554</v>
      </c>
      <c r="E10" s="202"/>
      <c r="F10" s="41"/>
      <c r="G10" s="41"/>
      <c r="H10" s="30"/>
      <c r="I10" s="30"/>
      <c r="J10" s="30"/>
      <c r="K10" s="30"/>
      <c r="L10" s="30"/>
    </row>
    <row r="11" spans="1:12" s="39" customFormat="1" ht="35.1" customHeight="1">
      <c r="A11" s="29">
        <v>2</v>
      </c>
      <c r="B11" s="207"/>
      <c r="C11" s="219" t="s">
        <v>454</v>
      </c>
      <c r="D11" s="181">
        <f t="shared" si="0"/>
        <v>6988</v>
      </c>
      <c r="E11" s="211"/>
      <c r="H11" s="30"/>
      <c r="I11" s="30"/>
      <c r="J11" s="30"/>
      <c r="K11" s="30"/>
      <c r="L11" s="30"/>
    </row>
    <row r="12" spans="1:12" s="39" customFormat="1" ht="35.1" customHeight="1">
      <c r="A12" s="29">
        <v>3</v>
      </c>
      <c r="B12" s="207"/>
      <c r="C12" s="374" t="s">
        <v>520</v>
      </c>
      <c r="D12" s="181">
        <f t="shared" si="0"/>
        <v>17467</v>
      </c>
      <c r="E12" s="211"/>
      <c r="H12" s="30"/>
      <c r="I12" s="30"/>
      <c r="J12" s="30"/>
      <c r="K12" s="30"/>
      <c r="L12" s="30"/>
    </row>
    <row r="13" spans="1:12" s="39" customFormat="1" ht="35.1" customHeight="1">
      <c r="A13" s="29">
        <v>4</v>
      </c>
      <c r="B13" s="207"/>
      <c r="C13" s="374" t="s">
        <v>391</v>
      </c>
      <c r="D13" s="181">
        <f t="shared" si="0"/>
        <v>148951</v>
      </c>
      <c r="E13" s="211"/>
      <c r="H13" s="30"/>
      <c r="I13" s="30"/>
      <c r="J13" s="30"/>
      <c r="K13" s="30"/>
      <c r="L13" s="30"/>
    </row>
    <row r="14" spans="1:12" s="39" customFormat="1" ht="48" customHeight="1">
      <c r="A14" s="29">
        <v>5</v>
      </c>
      <c r="B14" s="207"/>
      <c r="C14" s="230" t="s">
        <v>392</v>
      </c>
      <c r="D14" s="181">
        <f t="shared" si="0"/>
        <v>201942</v>
      </c>
      <c r="E14" s="211"/>
      <c r="H14" s="30"/>
      <c r="I14" s="30"/>
      <c r="J14" s="30"/>
      <c r="K14" s="30"/>
      <c r="L14" s="30"/>
    </row>
    <row r="15" spans="1:12" s="39" customFormat="1" ht="35.1" customHeight="1">
      <c r="A15" s="29">
        <v>6</v>
      </c>
      <c r="B15" s="207"/>
      <c r="C15" s="230" t="s">
        <v>393</v>
      </c>
      <c r="D15" s="181">
        <f t="shared" si="0"/>
        <v>28697</v>
      </c>
      <c r="E15" s="211"/>
      <c r="H15" s="30"/>
      <c r="I15" s="30"/>
      <c r="J15" s="30"/>
      <c r="K15" s="30"/>
      <c r="L15" s="30"/>
    </row>
    <row r="16" spans="1:12" s="39" customFormat="1" ht="44.25" customHeight="1">
      <c r="A16" s="29">
        <v>7</v>
      </c>
      <c r="B16" s="207"/>
      <c r="C16" s="370" t="s">
        <v>517</v>
      </c>
      <c r="D16" s="371" t="str">
        <f t="shared" si="0"/>
        <v>Fee For Service rates</v>
      </c>
      <c r="E16" s="211"/>
      <c r="H16" s="30"/>
      <c r="I16" s="30"/>
      <c r="J16" s="30"/>
      <c r="K16" s="30"/>
      <c r="L16" s="30"/>
    </row>
    <row r="17" spans="1:12" s="39" customFormat="1" ht="35.1" customHeight="1">
      <c r="A17" s="47"/>
      <c r="B17" s="203"/>
      <c r="C17" s="306" t="s">
        <v>521</v>
      </c>
      <c r="D17" s="357">
        <f>SUM(D10:D16)</f>
        <v>410599</v>
      </c>
      <c r="E17" s="208"/>
      <c r="F17" s="40"/>
      <c r="G17" s="40"/>
      <c r="H17" s="30"/>
      <c r="I17" s="30"/>
      <c r="J17" s="30"/>
      <c r="K17" s="30"/>
      <c r="L17" s="30"/>
    </row>
    <row r="18" spans="1:12" s="39" customFormat="1">
      <c r="A18" s="47"/>
      <c r="B18" s="203"/>
      <c r="C18" s="358"/>
      <c r="D18" s="215"/>
      <c r="E18" s="207"/>
      <c r="H18" s="30"/>
      <c r="I18" s="30"/>
      <c r="J18" s="30"/>
      <c r="K18" s="30"/>
      <c r="L18" s="30"/>
    </row>
    <row r="19" spans="1:12" s="39" customFormat="1" ht="48" customHeight="1">
      <c r="A19" s="29">
        <v>8</v>
      </c>
      <c r="B19" s="207"/>
      <c r="C19" s="216" t="s">
        <v>395</v>
      </c>
      <c r="D19" s="182">
        <f>VLOOKUP(A19,MAYO_BMT_ALLO_REL_PED,9,FALSE)</f>
        <v>2554</v>
      </c>
      <c r="E19" s="203"/>
      <c r="F19" s="30"/>
      <c r="G19" s="30"/>
    </row>
    <row r="20" spans="1:12" s="39" customFormat="1" ht="55.5" customHeight="1">
      <c r="A20" s="29">
        <v>9</v>
      </c>
      <c r="B20" s="207"/>
      <c r="C20" s="52" t="s">
        <v>396</v>
      </c>
      <c r="D20" s="225">
        <f>VLOOKUP(A20,MAYO_BMT_ALLO_REL_PED,9,FALSE)</f>
        <v>8014.1928120000002</v>
      </c>
      <c r="E20" s="207"/>
    </row>
    <row r="21" spans="1:12" s="39" customFormat="1">
      <c r="A21" s="47"/>
      <c r="B21" s="203"/>
      <c r="C21" s="203"/>
      <c r="D21" s="293"/>
      <c r="E21" s="207"/>
      <c r="H21" s="30"/>
      <c r="I21" s="30"/>
      <c r="J21" s="30"/>
      <c r="K21" s="30"/>
      <c r="L21" s="30"/>
    </row>
    <row r="22" spans="1:12" s="39" customFormat="1">
      <c r="A22" s="47"/>
      <c r="B22" s="203"/>
      <c r="C22" s="207"/>
      <c r="D22" s="293"/>
      <c r="E22" s="207"/>
      <c r="H22" s="30"/>
      <c r="I22" s="30"/>
      <c r="J22" s="30"/>
      <c r="K22" s="30"/>
      <c r="L22" s="30"/>
    </row>
    <row r="23" spans="1:12" s="38" customFormat="1" ht="62.25" customHeight="1">
      <c r="A23" s="37"/>
      <c r="B23" s="205"/>
      <c r="C23" s="567" t="s">
        <v>458</v>
      </c>
      <c r="D23" s="568"/>
      <c r="E23" s="568"/>
      <c r="F23" s="568"/>
      <c r="G23" s="569"/>
    </row>
    <row r="24" spans="1:12" s="39" customFormat="1">
      <c r="A24" s="47"/>
      <c r="B24" s="203"/>
      <c r="C24" s="218"/>
      <c r="D24" s="207"/>
      <c r="E24" s="207"/>
      <c r="H24" s="30"/>
      <c r="I24" s="30"/>
      <c r="J24" s="30"/>
      <c r="K24" s="30"/>
      <c r="L24" s="30"/>
    </row>
    <row r="25" spans="1:12" s="39" customFormat="1" ht="36.75" customHeight="1">
      <c r="A25" s="47"/>
      <c r="B25" s="207"/>
      <c r="C25" s="567" t="s">
        <v>398</v>
      </c>
      <c r="D25" s="568"/>
      <c r="E25" s="568"/>
      <c r="F25" s="568"/>
      <c r="G25" s="569"/>
      <c r="H25" s="48"/>
      <c r="I25" s="48"/>
    </row>
    <row r="26" spans="1:12" s="39" customFormat="1">
      <c r="A26" s="47"/>
      <c r="B26" s="203"/>
      <c r="C26" s="218"/>
      <c r="D26" s="207"/>
      <c r="E26" s="207"/>
      <c r="H26" s="30"/>
      <c r="I26" s="30"/>
      <c r="J26" s="30"/>
      <c r="K26" s="30"/>
      <c r="L26" s="30"/>
    </row>
    <row r="27" spans="1:12" s="39" customFormat="1">
      <c r="A27" s="47"/>
      <c r="B27" s="203"/>
      <c r="C27" s="207"/>
      <c r="D27" s="207"/>
      <c r="E27" s="207"/>
      <c r="H27" s="30"/>
      <c r="I27" s="30"/>
      <c r="J27" s="30"/>
      <c r="K27" s="30"/>
      <c r="L27" s="30"/>
    </row>
    <row r="28" spans="1:12">
      <c r="A28" s="28"/>
    </row>
    <row r="29" spans="1:12">
      <c r="A29" s="28"/>
    </row>
    <row r="30" spans="1:12">
      <c r="A30" s="28"/>
    </row>
    <row r="31" spans="1:12">
      <c r="A31" s="28"/>
    </row>
    <row r="32" spans="1:12">
      <c r="A32" s="28"/>
    </row>
    <row r="33" spans="1:1">
      <c r="A33" s="28"/>
    </row>
    <row r="34" spans="1:1">
      <c r="A34" s="28"/>
    </row>
    <row r="35" spans="1:1">
      <c r="A35" s="28"/>
    </row>
  </sheetData>
  <sheetProtection algorithmName="SHA-512" hashValue="eoh14wvN2LTZO7J0fYXdb7EjoUqbZuSjmrzsSOZUKNBykOuWgMEEAbmGFKuMRlimsjSLPSwLYTBrIQuFqwHXwg==" saltValue="usXKtb3+YG9fJBgmHR/r2A=="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72"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70">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3.625" style="207" customWidth="1"/>
    <col min="5" max="5" width="18.6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530</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5.6">
      <c r="A7" s="31"/>
      <c r="B7" s="204"/>
      <c r="C7" s="204"/>
      <c r="D7" s="204"/>
      <c r="E7" s="204"/>
      <c r="F7" s="32"/>
      <c r="G7" s="32"/>
    </row>
    <row r="8" spans="1:7" ht="12.95">
      <c r="A8" s="47"/>
      <c r="C8" s="208"/>
      <c r="D8" s="291" t="s">
        <v>529</v>
      </c>
      <c r="E8" s="202"/>
      <c r="F8" s="41"/>
      <c r="G8" s="41"/>
    </row>
    <row r="9" spans="1:7" ht="31.5" customHeight="1">
      <c r="A9" s="47"/>
      <c r="C9" s="305" t="s">
        <v>387</v>
      </c>
      <c r="D9" s="305" t="s">
        <v>388</v>
      </c>
      <c r="E9" s="202"/>
      <c r="F9" s="41"/>
      <c r="G9" s="167"/>
    </row>
    <row r="10" spans="1:7" ht="40.9" customHeight="1">
      <c r="A10" s="29">
        <v>1</v>
      </c>
      <c r="C10" s="44" t="s">
        <v>389</v>
      </c>
      <c r="D10" s="182">
        <f t="shared" ref="D10:D16" si="0">VLOOKUP(A10,MAYO_HAPLOID_BMT_PED,9,FALSE)</f>
        <v>6326</v>
      </c>
      <c r="E10" s="202"/>
      <c r="F10" s="41"/>
      <c r="G10" s="41"/>
    </row>
    <row r="11" spans="1:7" ht="35.1" customHeight="1">
      <c r="A11" s="29">
        <v>2</v>
      </c>
      <c r="C11" s="219" t="s">
        <v>522</v>
      </c>
      <c r="D11" s="182">
        <f t="shared" si="0"/>
        <v>10994</v>
      </c>
      <c r="E11" s="211"/>
    </row>
    <row r="12" spans="1:7" ht="45" customHeight="1">
      <c r="A12" s="29">
        <v>3</v>
      </c>
      <c r="C12" s="230" t="s">
        <v>523</v>
      </c>
      <c r="D12" s="182">
        <f t="shared" si="0"/>
        <v>16607</v>
      </c>
      <c r="E12" s="211"/>
    </row>
    <row r="13" spans="1:7" ht="35.1" customHeight="1">
      <c r="A13" s="29">
        <v>4</v>
      </c>
      <c r="C13" s="216" t="s">
        <v>391</v>
      </c>
      <c r="D13" s="182">
        <f t="shared" si="0"/>
        <v>58589</v>
      </c>
      <c r="E13" s="211"/>
    </row>
    <row r="14" spans="1:7" ht="35.1" customHeight="1">
      <c r="A14" s="29">
        <v>5</v>
      </c>
      <c r="C14" s="230" t="s">
        <v>392</v>
      </c>
      <c r="D14" s="182">
        <f t="shared" si="0"/>
        <v>108918</v>
      </c>
      <c r="E14" s="211"/>
    </row>
    <row r="15" spans="1:7" ht="35.1" customHeight="1">
      <c r="A15" s="29">
        <v>6</v>
      </c>
      <c r="C15" s="230" t="s">
        <v>393</v>
      </c>
      <c r="D15" s="182">
        <f t="shared" si="0"/>
        <v>32515</v>
      </c>
      <c r="E15" s="211"/>
    </row>
    <row r="16" spans="1:7" ht="47.25" customHeight="1">
      <c r="A16" s="29">
        <v>7</v>
      </c>
      <c r="C16" s="370" t="s">
        <v>517</v>
      </c>
      <c r="D16" s="371" t="str">
        <f t="shared" si="0"/>
        <v>Fee For Service rates</v>
      </c>
      <c r="E16" s="211"/>
    </row>
    <row r="17" spans="1:9" ht="35.1" customHeight="1">
      <c r="A17" s="47"/>
      <c r="C17" s="306" t="s">
        <v>408</v>
      </c>
      <c r="D17" s="363">
        <f>SUM(D10:D16)</f>
        <v>233949</v>
      </c>
      <c r="E17" s="208"/>
      <c r="F17" s="40"/>
      <c r="G17" s="40"/>
    </row>
    <row r="18" spans="1:9">
      <c r="A18" s="47"/>
      <c r="C18" s="358"/>
      <c r="D18" s="215"/>
    </row>
    <row r="19" spans="1:9" ht="35.1" customHeight="1">
      <c r="A19" s="29">
        <v>8</v>
      </c>
      <c r="C19" s="230" t="s">
        <v>395</v>
      </c>
      <c r="D19" s="182">
        <f>VLOOKUP(A19,MAYO_HAPLOID_BMT_PED,9,FALSE)</f>
        <v>2554</v>
      </c>
      <c r="E19" s="211"/>
    </row>
    <row r="20" spans="1:9" ht="51" customHeight="1">
      <c r="A20" s="29">
        <v>9</v>
      </c>
      <c r="C20" s="52" t="s">
        <v>396</v>
      </c>
      <c r="D20" s="225">
        <f>VLOOKUP(A20,MAYO_HAPLOID_BMT_PED,9,FALSE)</f>
        <v>8014.1928120000002</v>
      </c>
    </row>
    <row r="21" spans="1:9">
      <c r="A21" s="47"/>
      <c r="C21" s="203"/>
      <c r="D21" s="372"/>
    </row>
    <row r="22" spans="1:9">
      <c r="A22" s="47"/>
      <c r="D22" s="372"/>
    </row>
    <row r="23" spans="1:9" s="33" customFormat="1" ht="59.45" customHeight="1">
      <c r="A23" s="31"/>
      <c r="B23" s="204"/>
      <c r="C23" s="567" t="s">
        <v>458</v>
      </c>
      <c r="D23" s="568"/>
      <c r="E23" s="568"/>
      <c r="F23" s="568"/>
      <c r="G23" s="569"/>
    </row>
    <row r="24" spans="1:9" ht="21.6" customHeight="1">
      <c r="A24" s="47"/>
      <c r="C24" s="218"/>
    </row>
    <row r="25" spans="1:9" ht="36.75" customHeight="1">
      <c r="A25" s="47"/>
      <c r="C25" s="567" t="s">
        <v>398</v>
      </c>
      <c r="D25" s="568"/>
      <c r="E25" s="568"/>
      <c r="F25" s="568"/>
      <c r="G25" s="569"/>
      <c r="H25" s="48"/>
      <c r="I25" s="48"/>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6pGAbs27ZR7EJud4kb1ML7myvmi1YD2DzhjQ653eUm1t0x9DrjlrkOhXSMB4yzwc00vnDG8DPOWABGeC8+XhnQ==" saltValue="AV5knqwjtJ5SuP6qJ7ZX4g=="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73"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71">
    <tabColor theme="6"/>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9.875" style="207" customWidth="1"/>
    <col min="5" max="5" width="18.625" style="207" customWidth="1"/>
    <col min="6" max="6" width="18.625" style="39" customWidth="1"/>
    <col min="7" max="7" width="14.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531</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5.6">
      <c r="A7" s="31"/>
      <c r="B7" s="204"/>
      <c r="C7" s="204"/>
      <c r="D7" s="204"/>
      <c r="E7" s="204"/>
      <c r="F7" s="32"/>
      <c r="G7" s="32"/>
    </row>
    <row r="8" spans="1:7" ht="12.95">
      <c r="A8" s="47"/>
      <c r="C8" s="208"/>
      <c r="D8" s="291" t="s">
        <v>529</v>
      </c>
      <c r="E8" s="202"/>
      <c r="F8" s="41"/>
      <c r="G8" s="41"/>
    </row>
    <row r="9" spans="1:7" ht="31.5" customHeight="1">
      <c r="A9" s="47"/>
      <c r="C9" s="305" t="s">
        <v>387</v>
      </c>
      <c r="D9" s="305" t="s">
        <v>388</v>
      </c>
      <c r="E9" s="202"/>
      <c r="F9" s="41"/>
      <c r="G9" s="167"/>
    </row>
    <row r="10" spans="1:7" ht="40.9" customHeight="1">
      <c r="A10" s="29">
        <v>1</v>
      </c>
      <c r="C10" s="44" t="s">
        <v>389</v>
      </c>
      <c r="D10" s="181">
        <f t="shared" ref="D10:D16" si="0">VLOOKUP(A10,MAYO_BMT_ALLO_UNR_PED,9,FALSE)</f>
        <v>6186</v>
      </c>
      <c r="E10" s="202"/>
      <c r="F10" s="41"/>
      <c r="G10" s="41"/>
    </row>
    <row r="11" spans="1:7" ht="35.1" customHeight="1">
      <c r="A11" s="29">
        <v>2</v>
      </c>
      <c r="C11" s="216" t="s">
        <v>414</v>
      </c>
      <c r="D11" s="181">
        <f t="shared" si="0"/>
        <v>10519</v>
      </c>
      <c r="E11" s="211"/>
    </row>
    <row r="12" spans="1:7" ht="45" customHeight="1">
      <c r="A12" s="29">
        <v>3</v>
      </c>
      <c r="C12" s="230" t="s">
        <v>523</v>
      </c>
      <c r="D12" s="369" t="str">
        <f t="shared" si="0"/>
        <v>NBMD or Cord blood Invoice Cost</v>
      </c>
      <c r="E12" s="211"/>
    </row>
    <row r="13" spans="1:7" ht="35.1" customHeight="1">
      <c r="A13" s="29">
        <v>4</v>
      </c>
      <c r="C13" s="216" t="s">
        <v>391</v>
      </c>
      <c r="D13" s="181">
        <f t="shared" si="0"/>
        <v>57309</v>
      </c>
      <c r="E13" s="211"/>
    </row>
    <row r="14" spans="1:7" ht="35.1" customHeight="1">
      <c r="A14" s="29">
        <v>5</v>
      </c>
      <c r="C14" s="230" t="s">
        <v>392</v>
      </c>
      <c r="D14" s="181">
        <f t="shared" si="0"/>
        <v>106535</v>
      </c>
      <c r="E14" s="211"/>
    </row>
    <row r="15" spans="1:7" ht="35.1" customHeight="1">
      <c r="A15" s="29">
        <v>6</v>
      </c>
      <c r="C15" s="230" t="s">
        <v>393</v>
      </c>
      <c r="D15" s="181">
        <f t="shared" si="0"/>
        <v>31802</v>
      </c>
      <c r="E15" s="211"/>
    </row>
    <row r="16" spans="1:7" ht="46.5" customHeight="1">
      <c r="A16" s="29">
        <v>7</v>
      </c>
      <c r="C16" s="370" t="s">
        <v>517</v>
      </c>
      <c r="D16" s="371" t="str">
        <f t="shared" si="0"/>
        <v>Fee For Service rates</v>
      </c>
      <c r="E16" s="211"/>
    </row>
    <row r="17" spans="1:9" ht="40.5" customHeight="1">
      <c r="A17" s="47"/>
      <c r="C17" s="306" t="s">
        <v>525</v>
      </c>
      <c r="D17" s="357">
        <f>SUM(D10:D16)</f>
        <v>212351</v>
      </c>
      <c r="E17" s="208"/>
      <c r="F17" s="40"/>
      <c r="G17" s="40"/>
    </row>
    <row r="18" spans="1:9">
      <c r="A18" s="47"/>
      <c r="C18" s="358"/>
      <c r="D18" s="215"/>
    </row>
    <row r="19" spans="1:9" ht="35.1" customHeight="1">
      <c r="A19" s="29">
        <v>8</v>
      </c>
      <c r="C19" s="230" t="s">
        <v>395</v>
      </c>
      <c r="D19" s="181">
        <f>VLOOKUP(A19,MAYO_BMT_ALLO_UNR_PED,9,FALSE)</f>
        <v>2554</v>
      </c>
      <c r="E19" s="211"/>
    </row>
    <row r="20" spans="1:9" ht="50.45" customHeight="1">
      <c r="A20" s="29">
        <v>9</v>
      </c>
      <c r="C20" s="52" t="s">
        <v>396</v>
      </c>
      <c r="D20" s="225">
        <f>VLOOKUP(A20,MAYO_BMT_ALLO_UNR_PED,9,FALSE)</f>
        <v>8014.1928120000002</v>
      </c>
    </row>
    <row r="21" spans="1:9" ht="26.1" customHeight="1">
      <c r="A21" s="47"/>
      <c r="D21" s="372"/>
    </row>
    <row r="22" spans="1:9" ht="17.45" customHeight="1">
      <c r="A22" s="47"/>
      <c r="C22" s="218"/>
      <c r="D22" s="367" t="s">
        <v>409</v>
      </c>
      <c r="F22" s="30"/>
      <c r="G22" s="30"/>
      <c r="H22" s="30"/>
    </row>
    <row r="23" spans="1:9" ht="70.5" customHeight="1">
      <c r="A23" s="29">
        <v>10</v>
      </c>
      <c r="C23" s="230" t="s">
        <v>532</v>
      </c>
      <c r="D23" s="181">
        <f>VLOOKUP(A23,MAYO_BMT_ALLO_UNR_PED,9,FALSE)</f>
        <v>282076</v>
      </c>
      <c r="F23" s="30"/>
      <c r="G23" s="30"/>
      <c r="H23" s="30"/>
    </row>
    <row r="24" spans="1:9" ht="36" customHeight="1">
      <c r="A24" s="29">
        <v>11</v>
      </c>
      <c r="C24" s="373" t="s">
        <v>411</v>
      </c>
      <c r="D24" s="231">
        <f>VLOOKUP(A24,MAYO_BMT_ALLO_UNR_PED,9,FALSE)</f>
        <v>0.5</v>
      </c>
    </row>
    <row r="25" spans="1:9">
      <c r="A25" s="47"/>
    </row>
    <row r="26" spans="1:9">
      <c r="A26" s="47"/>
      <c r="C26" s="203"/>
      <c r="D26" s="372"/>
    </row>
    <row r="27" spans="1:9">
      <c r="A27" s="47"/>
      <c r="D27" s="372"/>
    </row>
    <row r="28" spans="1:9" s="33" customFormat="1" ht="54.75" customHeight="1">
      <c r="A28" s="31"/>
      <c r="B28" s="204"/>
      <c r="C28" s="567" t="s">
        <v>417</v>
      </c>
      <c r="D28" s="568"/>
      <c r="E28" s="568"/>
      <c r="F28" s="568"/>
      <c r="G28" s="569"/>
    </row>
    <row r="29" spans="1:9" ht="15.95" customHeight="1">
      <c r="A29" s="47"/>
      <c r="C29" s="218"/>
    </row>
    <row r="30" spans="1:9" ht="36.75" customHeight="1">
      <c r="A30" s="47"/>
      <c r="C30" s="567" t="s">
        <v>398</v>
      </c>
      <c r="D30" s="568"/>
      <c r="E30" s="568"/>
      <c r="F30" s="568"/>
      <c r="G30" s="569"/>
      <c r="H30" s="48"/>
      <c r="I30" s="48"/>
    </row>
    <row r="31" spans="1:9">
      <c r="A31" s="47"/>
    </row>
    <row r="32" spans="1:9">
      <c r="A32" s="47"/>
    </row>
    <row r="33" spans="1:1">
      <c r="A33" s="47"/>
    </row>
    <row r="34" spans="1:1">
      <c r="A34" s="47"/>
    </row>
    <row r="35" spans="1:1">
      <c r="A35" s="47"/>
    </row>
  </sheetData>
  <sheetProtection algorithmName="SHA-512" hashValue="Si6q026zXKnnIBejq1Z6S4hazzIjPZaVqW1dsGNz5Wzf/erjXU1pzMvKp17apO0xjhXpDqFvxcWMMXN6QGnaFA==" saltValue="5ISl7RX+6geIUmTWE6u7PQ==" spinCount="100000" sheet="1" objects="1" scenarios="1"/>
  <mergeCells count="6">
    <mergeCell ref="C30:G30"/>
    <mergeCell ref="C28:G28"/>
    <mergeCell ref="B3:G3"/>
    <mergeCell ref="B4:G4"/>
    <mergeCell ref="B5:G5"/>
    <mergeCell ref="B6:G6"/>
  </mergeCells>
  <printOptions horizontalCentered="1"/>
  <pageMargins left="0.25" right="0.25" top="0.25" bottom="0.25" header="0.25" footer="0.25"/>
  <pageSetup scale="6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A0254-4634-4F2D-8BBF-6A8C6250C406}">
  <sheetPr codeName="Sheet72">
    <tabColor theme="6"/>
    <pageSetUpPr fitToPage="1"/>
  </sheetPr>
  <dimension ref="A1:G35"/>
  <sheetViews>
    <sheetView showGridLines="0" topLeftCell="B2" zoomScale="90" zoomScaleNormal="90" zoomScaleSheetLayoutView="70" workbookViewId="0">
      <selection activeCell="B5" sqref="B5:D5"/>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7" s="483" customFormat="1" ht="20.100000000000001" hidden="1" customHeight="1">
      <c r="A1" s="481" t="e" cm="1">
        <f t="array" aca="1" ref="A1" ca="1">MID(CELL("filename",A1),FIND("]",CELL("filename",A1))+1,255)</f>
        <v>#VALUE!</v>
      </c>
      <c r="B1" s="482"/>
      <c r="C1" s="29">
        <v>3</v>
      </c>
      <c r="D1" s="113">
        <v>4</v>
      </c>
    </row>
    <row r="2" spans="1:7">
      <c r="A2" s="47"/>
    </row>
    <row r="3" spans="1:7" s="33" customFormat="1" ht="19.899999999999999" customHeight="1">
      <c r="A3" s="31"/>
      <c r="B3" s="571" t="s">
        <v>515</v>
      </c>
      <c r="C3" s="571"/>
      <c r="D3" s="571"/>
      <c r="E3" s="303"/>
    </row>
    <row r="4" spans="1:7" s="33" customFormat="1" ht="19.899999999999999" customHeight="1">
      <c r="A4" s="31"/>
      <c r="B4" s="571" t="s">
        <v>418</v>
      </c>
      <c r="C4" s="571"/>
      <c r="D4" s="571"/>
      <c r="E4" s="303"/>
    </row>
    <row r="5" spans="1:7" s="33" customFormat="1" ht="19.899999999999999" customHeight="1">
      <c r="A5" s="31"/>
      <c r="B5" s="571" t="s">
        <v>473</v>
      </c>
      <c r="C5" s="571"/>
      <c r="D5" s="571"/>
      <c r="E5" s="345"/>
      <c r="F5" s="85"/>
      <c r="G5" s="85"/>
    </row>
    <row r="6" spans="1:7" s="33" customFormat="1" ht="19.899999999999999" customHeight="1">
      <c r="A6" s="31"/>
      <c r="B6" s="571" t="s">
        <v>516</v>
      </c>
      <c r="C6" s="571"/>
      <c r="D6" s="571"/>
      <c r="E6" s="303"/>
    </row>
    <row r="7" spans="1:7" s="38" customFormat="1" ht="14.1">
      <c r="A7" s="37"/>
      <c r="B7" s="205"/>
      <c r="C7" s="206"/>
      <c r="D7" s="304"/>
      <c r="E7" s="205"/>
    </row>
    <row r="8" spans="1:7" ht="12.95">
      <c r="A8" s="47"/>
      <c r="C8" s="208"/>
      <c r="D8" s="202" t="s">
        <v>419</v>
      </c>
    </row>
    <row r="9" spans="1:7" ht="39" customHeight="1">
      <c r="A9" s="47"/>
      <c r="C9" s="305" t="s">
        <v>387</v>
      </c>
      <c r="D9" s="305" t="s">
        <v>388</v>
      </c>
      <c r="G9" s="167"/>
    </row>
    <row r="10" spans="1:7" ht="22.5" customHeight="1">
      <c r="A10" s="113">
        <v>1</v>
      </c>
      <c r="C10" s="230" t="s">
        <v>420</v>
      </c>
      <c r="D10" s="183">
        <f>VLOOKUP(A10,MAYO_TBI_ADULT_AND_PED,9,FALSE)</f>
        <v>8072</v>
      </c>
    </row>
    <row r="11" spans="1:7" ht="40.5" customHeight="1">
      <c r="A11" s="47"/>
      <c r="C11" s="221" t="s">
        <v>421</v>
      </c>
      <c r="D11" s="368">
        <f>SUM(D10)</f>
        <v>8072</v>
      </c>
    </row>
    <row r="12" spans="1:7">
      <c r="A12" s="47"/>
    </row>
    <row r="13" spans="1:7">
      <c r="A13" s="47"/>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mFPjbyMrcnSoFHrY1Z2OLynza+Rdw2qqkAKv+EEayOcOh6dExbtL/YyXk2r92EXHty/yw2EOtpjSq3pjqyKCWg==" saltValue="kxxwz1KkA+LfnfVtf4zhGg==" spinCount="100000" sheet="1" objects="1" scenarios="1"/>
  <mergeCells count="4">
    <mergeCell ref="B3:D3"/>
    <mergeCell ref="B4:D4"/>
    <mergeCell ref="B5:D5"/>
    <mergeCell ref="B6:D6"/>
  </mergeCells>
  <printOptions horizontalCentered="1"/>
  <pageMargins left="0.25" right="0.25" top="0.25" bottom="0.25" header="0.25" footer="0.25"/>
  <pageSetup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3">
    <tabColor theme="6"/>
    <pageSetUpPr fitToPage="1"/>
  </sheetPr>
  <dimension ref="A1:G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0.625" style="207" customWidth="1"/>
    <col min="5" max="5" width="18.625" style="207" customWidth="1"/>
    <col min="6" max="6" width="18.625" style="39" customWidth="1"/>
    <col min="7" max="7" width="12.625" style="39" customWidth="1"/>
    <col min="8" max="16384" width="9" style="39"/>
  </cols>
  <sheetData>
    <row r="1" spans="1:7" s="483" customFormat="1" ht="20.100000000000001" hidden="1" customHeight="1">
      <c r="A1" s="481" t="e" cm="1">
        <f t="array" aca="1" ref="A1" ca="1">MID(CELL("filename",A1),FIND("]",CELL("filename",A1))+1,255)</f>
        <v>#VALUE!</v>
      </c>
      <c r="B1" s="482"/>
      <c r="C1" s="29">
        <v>3</v>
      </c>
      <c r="D1" s="29">
        <v>4</v>
      </c>
    </row>
    <row r="2" spans="1:7" ht="13.5" customHeight="1">
      <c r="A2" s="47"/>
    </row>
    <row r="3" spans="1:7" s="33" customFormat="1" ht="19.899999999999999" customHeight="1">
      <c r="A3" s="31"/>
      <c r="B3" s="570" t="s">
        <v>515</v>
      </c>
      <c r="C3" s="570"/>
      <c r="D3" s="570"/>
      <c r="E3" s="570"/>
      <c r="F3" s="570"/>
      <c r="G3" s="570"/>
    </row>
    <row r="4" spans="1:7" s="33" customFormat="1" ht="19.899999999999999" customHeight="1">
      <c r="A4" s="31"/>
      <c r="B4" s="570" t="s">
        <v>424</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7.45" customHeight="1">
      <c r="A7" s="31"/>
      <c r="B7" s="204"/>
      <c r="C7" s="204"/>
      <c r="D7" s="204"/>
      <c r="E7" s="204"/>
      <c r="F7" s="32"/>
      <c r="G7" s="32"/>
    </row>
    <row r="8" spans="1:7" ht="12.95">
      <c r="A8" s="47"/>
      <c r="C8" s="208"/>
      <c r="D8" s="291" t="s">
        <v>386</v>
      </c>
      <c r="E8" s="290"/>
      <c r="F8" s="48"/>
      <c r="G8" s="48"/>
    </row>
    <row r="9" spans="1:7" ht="23.1" customHeight="1">
      <c r="A9" s="47"/>
      <c r="C9" s="305" t="s">
        <v>387</v>
      </c>
      <c r="D9" s="305" t="s">
        <v>388</v>
      </c>
      <c r="E9" s="202"/>
      <c r="F9" s="41"/>
      <c r="G9" s="167"/>
    </row>
    <row r="10" spans="1:7" ht="44.25" customHeight="1">
      <c r="A10" s="29">
        <v>1</v>
      </c>
      <c r="C10" s="44" t="s">
        <v>389</v>
      </c>
      <c r="D10" s="182">
        <f>VLOOKUP(A10,MAYO_PHX_HEART,9,FALSE)</f>
        <v>10448</v>
      </c>
      <c r="E10" s="202"/>
      <c r="F10" s="41"/>
      <c r="G10" s="41"/>
    </row>
    <row r="11" spans="1:7" ht="27" customHeight="1">
      <c r="A11" s="29">
        <v>2</v>
      </c>
      <c r="C11" s="216" t="s">
        <v>391</v>
      </c>
      <c r="D11" s="182">
        <f>VLOOKUP(A11,MAYO_PHX_HEART,9,FALSE)</f>
        <v>135338</v>
      </c>
    </row>
    <row r="12" spans="1:7" ht="45" customHeight="1">
      <c r="A12" s="29">
        <v>3</v>
      </c>
      <c r="C12" s="230" t="s">
        <v>392</v>
      </c>
      <c r="D12" s="182">
        <f>VLOOKUP(A12,MAYO_PHX_HEART,9,FALSE)</f>
        <v>101116</v>
      </c>
    </row>
    <row r="13" spans="1:7" ht="45.75" customHeight="1">
      <c r="A13" s="29">
        <v>4</v>
      </c>
      <c r="C13" s="228" t="s">
        <v>393</v>
      </c>
      <c r="D13" s="364">
        <f>VLOOKUP(A13,MAYO_PHX_HEART,9,FALSE)</f>
        <v>41226</v>
      </c>
    </row>
    <row r="14" spans="1:7" ht="29.25" customHeight="1">
      <c r="A14" s="47"/>
      <c r="C14" s="306" t="s">
        <v>426</v>
      </c>
      <c r="D14" s="363">
        <f>SUM(D10:D13)</f>
        <v>288128</v>
      </c>
    </row>
    <row r="15" spans="1:7" ht="12" customHeight="1">
      <c r="A15" s="47"/>
      <c r="C15" s="365"/>
      <c r="D15" s="366"/>
    </row>
    <row r="16" spans="1:7" ht="48.6" customHeight="1">
      <c r="A16" s="29">
        <v>5</v>
      </c>
      <c r="C16" s="216" t="s">
        <v>395</v>
      </c>
      <c r="D16" s="182">
        <f>VLOOKUP(A16,MAYO_PHX_HEART,9,FALSE)</f>
        <v>2554</v>
      </c>
      <c r="E16" s="203"/>
      <c r="F16" s="30"/>
      <c r="G16" s="30"/>
    </row>
    <row r="17" spans="1:7" ht="55.9" customHeight="1">
      <c r="A17" s="29">
        <v>6</v>
      </c>
      <c r="C17" s="52" t="s">
        <v>396</v>
      </c>
      <c r="D17" s="225">
        <f>VLOOKUP(A17,MAYO_PHX_HEART,9,FALSE)</f>
        <v>8014.1928120000002</v>
      </c>
      <c r="E17" s="45"/>
      <c r="F17" s="45"/>
      <c r="G17" s="45"/>
    </row>
    <row r="18" spans="1:7" ht="12" customHeight="1">
      <c r="A18" s="47"/>
      <c r="D18" s="338"/>
    </row>
    <row r="19" spans="1:7" ht="31.5" customHeight="1">
      <c r="A19" s="47"/>
      <c r="C19" s="218"/>
      <c r="D19" s="367" t="s">
        <v>409</v>
      </c>
    </row>
    <row r="20" spans="1:7" ht="68.099999999999994" customHeight="1">
      <c r="A20" s="29">
        <v>7</v>
      </c>
      <c r="C20" s="228" t="s">
        <v>533</v>
      </c>
      <c r="D20" s="182">
        <f>VLOOKUP(A20,MAYO_PHX_HEART,9,FALSE)</f>
        <v>355662</v>
      </c>
      <c r="E20" s="203"/>
    </row>
    <row r="21" spans="1:7" ht="45.6" customHeight="1">
      <c r="A21" s="29">
        <v>8</v>
      </c>
      <c r="C21" s="230" t="s">
        <v>411</v>
      </c>
      <c r="D21" s="231">
        <f>VLOOKUP(A21,MAYO_PHX_HEART,9,FALSE)</f>
        <v>0.5</v>
      </c>
      <c r="E21" s="203"/>
    </row>
    <row r="22" spans="1:7" ht="30" customHeight="1">
      <c r="A22" s="29"/>
    </row>
    <row r="23" spans="1:7" ht="60" customHeight="1">
      <c r="A23" s="47"/>
      <c r="C23" s="567" t="s">
        <v>502</v>
      </c>
      <c r="D23" s="568"/>
      <c r="E23" s="568"/>
      <c r="F23" s="568"/>
      <c r="G23" s="569"/>
    </row>
    <row r="24" spans="1:7">
      <c r="A24" s="47"/>
    </row>
    <row r="25" spans="1:7" s="38" customFormat="1" ht="57" customHeight="1">
      <c r="A25" s="37"/>
      <c r="B25" s="205"/>
      <c r="C25" s="567" t="s">
        <v>417</v>
      </c>
      <c r="D25" s="568"/>
      <c r="E25" s="568"/>
      <c r="F25" s="568"/>
      <c r="G25" s="569"/>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8w5sqiCaKzL8vsldTLjpLxPrpvhmAOcXMhcFUF87w99d1DMu1c6NEKlscy484eQZ2y7w34Bn6R6FypAYHtPyIQ==" saltValue="nFakEUEuygfekrg31RG8AA=="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68"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74">
    <tabColor theme="6"/>
    <pageSetUpPr fitToPage="1"/>
  </sheetPr>
  <dimension ref="A1:H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4.125" style="207" customWidth="1"/>
    <col min="5" max="5" width="18.625" style="207" customWidth="1"/>
    <col min="6" max="6" width="18.625" style="39" customWidth="1"/>
    <col min="7" max="7" width="12.625" style="39" customWidth="1"/>
    <col min="8" max="8" width="6.5" style="39" customWidth="1"/>
    <col min="9" max="9" width="9" style="39" customWidth="1"/>
    <col min="10"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0" t="s">
        <v>515</v>
      </c>
      <c r="C3" s="570"/>
      <c r="D3" s="570"/>
      <c r="E3" s="570"/>
      <c r="F3" s="570"/>
      <c r="G3" s="570"/>
      <c r="H3" s="570"/>
    </row>
    <row r="4" spans="1:8" s="33" customFormat="1" ht="19.899999999999999" customHeight="1">
      <c r="A4" s="31"/>
      <c r="B4" s="570" t="s">
        <v>435</v>
      </c>
      <c r="C4" s="570"/>
      <c r="D4" s="570"/>
      <c r="E4" s="570"/>
      <c r="F4" s="570"/>
      <c r="G4" s="570"/>
      <c r="H4" s="570"/>
    </row>
    <row r="5" spans="1:8" s="33" customFormat="1" ht="19.899999999999999" customHeight="1">
      <c r="A5" s="31"/>
      <c r="B5" s="571" t="s">
        <v>473</v>
      </c>
      <c r="C5" s="571"/>
      <c r="D5" s="571"/>
      <c r="E5" s="571"/>
      <c r="F5" s="571"/>
      <c r="G5" s="571"/>
      <c r="H5" s="345"/>
    </row>
    <row r="6" spans="1:8" s="33" customFormat="1" ht="19.899999999999999" customHeight="1">
      <c r="A6" s="31"/>
      <c r="B6" s="570" t="s">
        <v>516</v>
      </c>
      <c r="C6" s="570"/>
      <c r="D6" s="570"/>
      <c r="E6" s="570"/>
      <c r="F6" s="570"/>
      <c r="G6" s="570"/>
      <c r="H6" s="570"/>
    </row>
    <row r="7" spans="1:8" s="33" customFormat="1" ht="12.75" customHeight="1">
      <c r="A7" s="31"/>
      <c r="B7" s="202"/>
      <c r="C7" s="202"/>
      <c r="D7" s="202"/>
      <c r="E7" s="202"/>
      <c r="F7" s="41"/>
      <c r="G7" s="41"/>
      <c r="H7" s="41"/>
    </row>
    <row r="8" spans="1:8" ht="13.9" customHeight="1">
      <c r="A8" s="47"/>
      <c r="C8" s="208"/>
      <c r="D8" s="202" t="s">
        <v>386</v>
      </c>
      <c r="E8" s="202"/>
      <c r="F8" s="41"/>
      <c r="G8" s="41"/>
      <c r="H8" s="41"/>
    </row>
    <row r="9" spans="1:8" ht="24.95" customHeight="1">
      <c r="A9" s="47"/>
      <c r="C9" s="305" t="s">
        <v>387</v>
      </c>
      <c r="D9" s="305" t="s">
        <v>388</v>
      </c>
      <c r="E9" s="202"/>
      <c r="F9" s="41"/>
      <c r="G9" s="167"/>
      <c r="H9" s="41"/>
    </row>
    <row r="10" spans="1:8" ht="39.950000000000003" customHeight="1">
      <c r="A10" s="29">
        <v>1</v>
      </c>
      <c r="C10" s="44" t="s">
        <v>389</v>
      </c>
      <c r="D10" s="181">
        <f>VLOOKUP(A10,MAYO_KIDNEY_LIVING,9,FALSE)</f>
        <v>5328</v>
      </c>
      <c r="E10" s="202"/>
      <c r="F10" s="41"/>
      <c r="G10" s="41"/>
      <c r="H10" s="41"/>
    </row>
    <row r="11" spans="1:8" ht="39.950000000000003" customHeight="1">
      <c r="A11" s="29">
        <v>2</v>
      </c>
      <c r="C11" s="230" t="s">
        <v>534</v>
      </c>
      <c r="D11" s="181">
        <f>VLOOKUP(A11,MAYO_KIDNEY_LIVING,9,FALSE)</f>
        <v>119102</v>
      </c>
    </row>
    <row r="12" spans="1:8" ht="39.950000000000003" customHeight="1">
      <c r="A12" s="29">
        <v>3</v>
      </c>
      <c r="C12" s="230" t="s">
        <v>535</v>
      </c>
      <c r="D12" s="181">
        <f>VLOOKUP(A12,MAYO_KIDNEY_LIVING,9,FALSE)</f>
        <v>22714</v>
      </c>
    </row>
    <row r="13" spans="1:8" ht="39.950000000000003" customHeight="1">
      <c r="A13" s="47"/>
      <c r="C13" s="306" t="s">
        <v>464</v>
      </c>
      <c r="D13" s="363">
        <f>SUM(D10:D12)</f>
        <v>147144</v>
      </c>
      <c r="H13" s="112"/>
    </row>
    <row r="14" spans="1:8" ht="19.5" customHeight="1">
      <c r="A14" s="47"/>
      <c r="D14" s="239"/>
    </row>
    <row r="15" spans="1:8" ht="39.950000000000003" customHeight="1">
      <c r="A15" s="29">
        <v>4</v>
      </c>
      <c r="C15" s="230" t="s">
        <v>434</v>
      </c>
      <c r="D15" s="181">
        <f>VLOOKUP(A15,MAYO_KIDNEY_LIVING,9,FALSE)</f>
        <v>2554</v>
      </c>
    </row>
    <row r="16" spans="1:8" ht="51.95" customHeight="1">
      <c r="A16" s="29">
        <v>5</v>
      </c>
      <c r="C16" s="230" t="s">
        <v>396</v>
      </c>
      <c r="D16" s="362">
        <f>VLOOKUP(A16,MAYO_KIDNEY_LIVING,9,FALSE)</f>
        <v>8014.1928120000002</v>
      </c>
    </row>
    <row r="17" spans="1:8" ht="24.6" customHeight="1">
      <c r="A17" s="47"/>
    </row>
    <row r="18" spans="1:8" s="38" customFormat="1" ht="47.25" customHeight="1">
      <c r="A18" s="37"/>
      <c r="B18" s="207"/>
      <c r="C18" s="567" t="s">
        <v>417</v>
      </c>
      <c r="D18" s="568"/>
      <c r="E18" s="568"/>
      <c r="F18" s="568"/>
      <c r="G18" s="569"/>
      <c r="H18" s="39"/>
    </row>
    <row r="19" spans="1:8">
      <c r="A19" s="47"/>
    </row>
    <row r="20" spans="1:8">
      <c r="A20" s="47"/>
    </row>
    <row r="21" spans="1:8">
      <c r="A21" s="47"/>
    </row>
    <row r="22" spans="1:8">
      <c r="A22" s="47"/>
    </row>
    <row r="23" spans="1:8">
      <c r="A23" s="47"/>
    </row>
    <row r="24" spans="1:8">
      <c r="A24" s="47"/>
    </row>
    <row r="25" spans="1:8">
      <c r="A25" s="47"/>
    </row>
    <row r="26" spans="1:8">
      <c r="A26" s="47"/>
    </row>
    <row r="27" spans="1:8">
      <c r="A27" s="47"/>
    </row>
    <row r="28" spans="1:8">
      <c r="A28" s="47"/>
    </row>
    <row r="29" spans="1:8">
      <c r="A29" s="47"/>
    </row>
    <row r="30" spans="1:8">
      <c r="A30" s="47"/>
    </row>
    <row r="31" spans="1:8">
      <c r="A31" s="47"/>
    </row>
    <row r="32" spans="1:8">
      <c r="A32" s="47"/>
    </row>
    <row r="33" spans="1:1">
      <c r="A33" s="47"/>
    </row>
    <row r="34" spans="1:1">
      <c r="A34" s="47"/>
    </row>
    <row r="35" spans="1:1">
      <c r="A35" s="47"/>
    </row>
  </sheetData>
  <sheetProtection algorithmName="SHA-512" hashValue="0vJM9vP+J/LNG/cvVJB4ITRrm1aD1Nzjj7h1vWPKcqEmvWoWKjLd6odW4x4gGJ8ZLFjgFugsUrPUrGXz/jN6lw==" saltValue="HeMblsHiKpjXHAnr2AQE7w==" spinCount="100000" sheet="1" objects="1" scenarios="1"/>
  <mergeCells count="5">
    <mergeCell ref="C18:G18"/>
    <mergeCell ref="B3:H3"/>
    <mergeCell ref="B4:H4"/>
    <mergeCell ref="B6:H6"/>
    <mergeCell ref="B5:G5"/>
  </mergeCells>
  <printOptions horizontalCentered="1"/>
  <pageMargins left="0.25" right="0.25" top="0.25" bottom="0.25" header="0.25" footer="0.25"/>
  <pageSetup scale="73"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5">
    <tabColor theme="6"/>
    <pageSetUpPr fitToPage="1"/>
  </sheetPr>
  <dimension ref="A1:G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29" style="207" customWidth="1"/>
    <col min="5" max="5" width="18.625" style="207" customWidth="1"/>
    <col min="6" max="6" width="17"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431</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516</v>
      </c>
      <c r="C6" s="570"/>
      <c r="D6" s="570"/>
      <c r="E6" s="570"/>
      <c r="F6" s="570"/>
      <c r="G6" s="570"/>
    </row>
    <row r="7" spans="1:7" s="33" customFormat="1" ht="15" customHeight="1">
      <c r="A7" s="31"/>
      <c r="B7" s="204"/>
      <c r="C7" s="204"/>
      <c r="D7" s="204"/>
      <c r="E7" s="204"/>
      <c r="F7" s="32"/>
      <c r="G7" s="32"/>
    </row>
    <row r="8" spans="1:7" ht="15" customHeight="1">
      <c r="A8" s="47"/>
      <c r="C8" s="208"/>
      <c r="D8" s="202" t="s">
        <v>386</v>
      </c>
      <c r="E8" s="202"/>
      <c r="F8" s="41"/>
      <c r="G8" s="41"/>
    </row>
    <row r="9" spans="1:7" ht="24.95" customHeight="1">
      <c r="A9" s="47"/>
      <c r="C9" s="305" t="s">
        <v>387</v>
      </c>
      <c r="D9" s="305" t="s">
        <v>388</v>
      </c>
      <c r="E9" s="202"/>
      <c r="F9" s="41"/>
      <c r="G9" s="167"/>
    </row>
    <row r="10" spans="1:7" ht="54.95" customHeight="1">
      <c r="A10" s="29">
        <v>1</v>
      </c>
      <c r="C10" s="44" t="s">
        <v>389</v>
      </c>
      <c r="D10" s="181">
        <f>VLOOKUP(A10,MAYO_KIDNEY_CADAVERIC,9,FALSE)</f>
        <v>5328</v>
      </c>
      <c r="E10" s="202"/>
      <c r="F10" s="41"/>
      <c r="G10" s="41"/>
    </row>
    <row r="11" spans="1:7" ht="48.6" customHeight="1">
      <c r="A11" s="29">
        <v>2</v>
      </c>
      <c r="C11" s="230" t="s">
        <v>534</v>
      </c>
      <c r="D11" s="181">
        <f>VLOOKUP(A11,MAYO_KIDNEY_CADAVERIC,9,FALSE)</f>
        <v>119102</v>
      </c>
    </row>
    <row r="12" spans="1:7" ht="35.1" customHeight="1">
      <c r="A12" s="47"/>
      <c r="C12" s="306" t="s">
        <v>536</v>
      </c>
      <c r="D12" s="357">
        <f>SUM(D10:D11)</f>
        <v>124430</v>
      </c>
    </row>
    <row r="13" spans="1:7">
      <c r="A13" s="47"/>
      <c r="D13" s="239"/>
    </row>
    <row r="14" spans="1:7" ht="60" customHeight="1">
      <c r="A14" s="29">
        <v>3</v>
      </c>
      <c r="C14" s="216" t="s">
        <v>434</v>
      </c>
      <c r="D14" s="181">
        <f>VLOOKUP(A14,MAYO_KIDNEY_CADAVERIC,9,FALSE)</f>
        <v>2554</v>
      </c>
      <c r="E14" s="203"/>
      <c r="F14" s="30"/>
      <c r="G14" s="30"/>
    </row>
    <row r="15" spans="1:7" ht="66" customHeight="1">
      <c r="A15" s="29">
        <v>4</v>
      </c>
      <c r="C15" s="52" t="s">
        <v>396</v>
      </c>
      <c r="D15" s="225">
        <f>VLOOKUP(A15,MAYO_KIDNEY_CADAVERIC,9,FALSE)</f>
        <v>8014.1928120000002</v>
      </c>
      <c r="E15" s="45"/>
      <c r="F15" s="45"/>
      <c r="G15" s="45"/>
    </row>
    <row r="16" spans="1:7">
      <c r="A16" s="47"/>
      <c r="D16" s="293"/>
    </row>
    <row r="17" spans="1:7">
      <c r="A17" s="47"/>
      <c r="C17" s="203"/>
      <c r="D17" s="293"/>
    </row>
    <row r="18" spans="1:7">
      <c r="A18" s="47"/>
      <c r="D18" s="293"/>
    </row>
    <row r="19" spans="1:7" s="38" customFormat="1" ht="50.25" customHeight="1">
      <c r="A19" s="37"/>
      <c r="B19" s="205"/>
      <c r="C19" s="567" t="s">
        <v>417</v>
      </c>
      <c r="D19" s="568"/>
      <c r="E19" s="568"/>
      <c r="F19" s="568"/>
      <c r="G19" s="569"/>
    </row>
    <row r="20" spans="1:7">
      <c r="A20" s="47"/>
      <c r="C20" s="218"/>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l/m8DLr1l9KMA1rpYLDoMhDoIjZfTTis9US2aMyuyPUF53+TtPN1MJlFv+S9/FTD22/jHRghSouajSsDHgJFkw==" saltValue="2oRi5f95KcxTCWBZfcKGlQ==" spinCount="100000" sheet="1" objects="1" scenarios="1"/>
  <mergeCells count="5">
    <mergeCell ref="C19:G19"/>
    <mergeCell ref="B3:G3"/>
    <mergeCell ref="B4:G4"/>
    <mergeCell ref="B5:G5"/>
    <mergeCell ref="B6:G6"/>
  </mergeCells>
  <printOptions horizontalCentered="1"/>
  <pageMargins left="0.25" right="0.25" top="0.25" bottom="0.25" header="0.25" footer="0.25"/>
  <pageSetup scale="74"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76">
    <tabColor theme="6"/>
    <pageSetUpPr fitToPage="1"/>
  </sheetPr>
  <dimension ref="A1:G35"/>
  <sheetViews>
    <sheetView showGridLines="0" topLeftCell="B2" zoomScale="90" zoomScaleNormal="90" zoomScaleSheetLayoutView="70" workbookViewId="0">
      <selection activeCell="G12" sqref="G12"/>
    </sheetView>
  </sheetViews>
  <sheetFormatPr defaultColWidth="9" defaultRowHeight="12.6"/>
  <cols>
    <col min="1" max="1" width="30.625" style="39" hidden="1" customWidth="1"/>
    <col min="2" max="2" width="6.625" style="207" customWidth="1"/>
    <col min="3" max="3" width="64" style="207" customWidth="1"/>
    <col min="4" max="4" width="20.625" style="207" customWidth="1"/>
    <col min="5" max="5" width="18.6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515</v>
      </c>
      <c r="C3" s="570"/>
      <c r="D3" s="570"/>
      <c r="E3" s="570"/>
      <c r="F3" s="570"/>
      <c r="G3" s="570"/>
    </row>
    <row r="4" spans="1:7" s="33" customFormat="1" ht="19.899999999999999" customHeight="1">
      <c r="A4" s="31"/>
      <c r="B4" s="570" t="s">
        <v>444</v>
      </c>
      <c r="C4" s="570"/>
      <c r="D4" s="570"/>
      <c r="E4" s="570"/>
      <c r="F4" s="570"/>
      <c r="G4" s="570"/>
    </row>
    <row r="5" spans="1:7" s="86" customFormat="1" ht="19.899999999999999" customHeight="1">
      <c r="A5" s="84"/>
      <c r="B5" s="571" t="s">
        <v>473</v>
      </c>
      <c r="C5" s="571"/>
      <c r="D5" s="571"/>
      <c r="E5" s="571"/>
      <c r="F5" s="571"/>
      <c r="G5" s="571"/>
    </row>
    <row r="6" spans="1:7" s="33" customFormat="1" ht="19.899999999999999" customHeight="1">
      <c r="A6" s="31"/>
      <c r="B6" s="570" t="s">
        <v>516</v>
      </c>
      <c r="C6" s="570"/>
      <c r="D6" s="570"/>
      <c r="E6" s="570"/>
      <c r="F6" s="570"/>
      <c r="G6" s="570"/>
    </row>
    <row r="7" spans="1:7" s="33" customFormat="1" ht="12.75" customHeight="1">
      <c r="A7" s="31"/>
      <c r="B7" s="204"/>
      <c r="C7" s="204"/>
      <c r="D7" s="204"/>
      <c r="E7" s="204"/>
      <c r="F7" s="32"/>
      <c r="G7" s="32"/>
    </row>
    <row r="8" spans="1:7" ht="13.15" customHeight="1">
      <c r="A8" s="47"/>
      <c r="C8" s="208"/>
      <c r="D8" s="202" t="s">
        <v>386</v>
      </c>
      <c r="E8" s="290"/>
      <c r="F8" s="48"/>
      <c r="G8" s="48"/>
    </row>
    <row r="9" spans="1:7" ht="24.95" customHeight="1">
      <c r="A9" s="47"/>
      <c r="C9" s="305" t="s">
        <v>387</v>
      </c>
      <c r="D9" s="305" t="s">
        <v>388</v>
      </c>
      <c r="E9" s="202"/>
      <c r="F9" s="41"/>
      <c r="G9" s="167"/>
    </row>
    <row r="10" spans="1:7" ht="49.5" customHeight="1">
      <c r="A10" s="29">
        <v>1</v>
      </c>
      <c r="C10" s="44" t="s">
        <v>389</v>
      </c>
      <c r="D10" s="181">
        <f>VLOOKUP(A10,MAYO_CAD_LIVER_ADULT,9,FALSE)</f>
        <v>8017</v>
      </c>
      <c r="E10" s="202"/>
      <c r="F10" s="41"/>
      <c r="G10" s="41"/>
    </row>
    <row r="11" spans="1:7" ht="39.75" customHeight="1">
      <c r="A11" s="29">
        <v>2</v>
      </c>
      <c r="C11" s="230" t="s">
        <v>391</v>
      </c>
      <c r="D11" s="181">
        <f>VLOOKUP(A11,MAYO_CAD_LIVER_ADULT,9,FALSE)</f>
        <v>165128</v>
      </c>
    </row>
    <row r="12" spans="1:7" ht="39.75" customHeight="1">
      <c r="A12" s="29">
        <v>3</v>
      </c>
      <c r="C12" s="230" t="s">
        <v>392</v>
      </c>
      <c r="D12" s="181">
        <f>VLOOKUP(A12,MAYO_CAD_LIVER_ADULT,9,FALSE)</f>
        <v>121642</v>
      </c>
    </row>
    <row r="13" spans="1:7" ht="39.75" customHeight="1">
      <c r="A13" s="29">
        <v>4</v>
      </c>
      <c r="C13" s="230" t="s">
        <v>393</v>
      </c>
      <c r="D13" s="181">
        <f>VLOOKUP(A13,MAYO_CAD_LIVER_ADULT,9,FALSE)</f>
        <v>41972</v>
      </c>
    </row>
    <row r="14" spans="1:7" ht="35.1" customHeight="1">
      <c r="A14" s="47"/>
      <c r="C14" s="306" t="s">
        <v>445</v>
      </c>
      <c r="D14" s="357">
        <f>SUM(D10:D13)</f>
        <v>336759</v>
      </c>
    </row>
    <row r="15" spans="1:7">
      <c r="A15" s="47"/>
      <c r="C15" s="358"/>
      <c r="D15" s="359"/>
    </row>
    <row r="16" spans="1:7" ht="39.75" customHeight="1">
      <c r="A16" s="29">
        <v>5</v>
      </c>
      <c r="C16" s="230" t="s">
        <v>395</v>
      </c>
      <c r="D16" s="181">
        <f>VLOOKUP(A16,MAYO_CAD_LIVER_ADULT,9,FALSE)</f>
        <v>2554</v>
      </c>
    </row>
    <row r="17" spans="1:7" ht="54.6" customHeight="1">
      <c r="A17" s="29">
        <v>6</v>
      </c>
      <c r="C17" s="230" t="s">
        <v>396</v>
      </c>
      <c r="D17" s="362">
        <f>VLOOKUP(A17,MAYO_CAD_LIVER_ADULT,9,FALSE)</f>
        <v>8014.1928120000002</v>
      </c>
    </row>
    <row r="18" spans="1:7">
      <c r="A18" s="47"/>
      <c r="D18" s="293"/>
    </row>
    <row r="19" spans="1:7">
      <c r="A19" s="47"/>
      <c r="C19" s="203"/>
      <c r="D19" s="293"/>
    </row>
    <row r="20" spans="1:7">
      <c r="A20" s="47"/>
      <c r="D20" s="293"/>
    </row>
    <row r="21" spans="1:7" s="38" customFormat="1" ht="61.5" customHeight="1">
      <c r="A21" s="37"/>
      <c r="B21" s="205"/>
      <c r="C21" s="567" t="s">
        <v>417</v>
      </c>
      <c r="D21" s="568"/>
      <c r="E21" s="568"/>
      <c r="F21" s="568"/>
      <c r="G21" s="569"/>
    </row>
    <row r="22" spans="1:7">
      <c r="A22" s="47"/>
      <c r="C22" s="218"/>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54hQSvYkQZLCJSQQMTLKr+TYOE1ATDTq37G3dvqUvAIag+PQdEmAqX0zUfv9D6D8pQvXM8T24BoemOnJMIKLwg==" saltValue="T2Pjbt8XYyBZyhOrlDflyw==" spinCount="100000" sheet="1" objects="1" scenarios="1"/>
  <mergeCells count="5">
    <mergeCell ref="C21:G21"/>
    <mergeCell ref="B3:G3"/>
    <mergeCell ref="B4:G4"/>
    <mergeCell ref="B5:G5"/>
    <mergeCell ref="B6:G6"/>
  </mergeCells>
  <printOptions horizontalCentered="1"/>
  <pageMargins left="0.25" right="0.25" top="0.25" bottom="0.25" header="0.25" footer="0.25"/>
  <pageSetup scale="77"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7">
    <tabColor theme="6"/>
    <pageSetUpPr fitToPage="1"/>
  </sheetPr>
  <dimension ref="A1:G35"/>
  <sheetViews>
    <sheetView showGridLines="0" topLeftCell="B2" zoomScale="90" zoomScaleNormal="90" zoomScaleSheetLayoutView="70" workbookViewId="0">
      <selection activeCell="B6" sqref="B6:G6"/>
    </sheetView>
  </sheetViews>
  <sheetFormatPr defaultColWidth="9" defaultRowHeight="12.6"/>
  <cols>
    <col min="1" max="1" width="30.625" style="48" hidden="1" customWidth="1"/>
    <col min="2" max="2" width="6.625" style="290" customWidth="1"/>
    <col min="3" max="3" width="64" style="290" customWidth="1"/>
    <col min="4" max="4" width="22.875" style="290" customWidth="1"/>
    <col min="5" max="5" width="11.5" style="290" customWidth="1"/>
    <col min="6" max="6" width="9.875" style="48" customWidth="1"/>
    <col min="7" max="7" width="21.7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c r="B2" s="207"/>
      <c r="C2" s="207"/>
      <c r="E2" s="207"/>
      <c r="F2" s="39"/>
      <c r="G2" s="39"/>
    </row>
    <row r="3" spans="1:7" s="88" customFormat="1" ht="19.899999999999999" customHeight="1">
      <c r="A3" s="87"/>
      <c r="B3" s="570" t="s">
        <v>515</v>
      </c>
      <c r="C3" s="570"/>
      <c r="D3" s="570"/>
      <c r="E3" s="570"/>
      <c r="F3" s="570"/>
      <c r="G3" s="570"/>
    </row>
    <row r="4" spans="1:7" s="88" customFormat="1" ht="19.899999999999999" customHeight="1">
      <c r="A4" s="87"/>
      <c r="B4" s="570" t="s">
        <v>537</v>
      </c>
      <c r="C4" s="570"/>
      <c r="D4" s="570"/>
      <c r="E4" s="570"/>
      <c r="F4" s="570"/>
      <c r="G4" s="570"/>
    </row>
    <row r="5" spans="1:7" s="88" customFormat="1" ht="19.899999999999999" customHeight="1">
      <c r="A5" s="87"/>
      <c r="B5" s="570" t="s">
        <v>446</v>
      </c>
      <c r="C5" s="570"/>
      <c r="D5" s="570"/>
      <c r="E5" s="570"/>
      <c r="F5" s="570"/>
      <c r="G5" s="570"/>
    </row>
    <row r="6" spans="1:7" s="111" customFormat="1" ht="19.899999999999999" customHeight="1">
      <c r="A6" s="110"/>
      <c r="B6" s="571" t="s">
        <v>473</v>
      </c>
      <c r="C6" s="571"/>
      <c r="D6" s="571"/>
      <c r="E6" s="571"/>
      <c r="F6" s="571"/>
      <c r="G6" s="571"/>
    </row>
    <row r="7" spans="1:7" s="88" customFormat="1" ht="20.25" customHeight="1">
      <c r="A7" s="87"/>
      <c r="B7" s="570" t="s">
        <v>516</v>
      </c>
      <c r="C7" s="570"/>
      <c r="D7" s="570"/>
      <c r="E7" s="570"/>
      <c r="F7" s="570"/>
      <c r="G7" s="570"/>
    </row>
    <row r="8" spans="1:7" s="88" customFormat="1" ht="20.25" customHeight="1">
      <c r="A8" s="87"/>
      <c r="B8" s="204"/>
      <c r="C8" s="204"/>
      <c r="D8" s="204"/>
      <c r="E8" s="204"/>
      <c r="F8" s="32"/>
      <c r="G8" s="32"/>
    </row>
    <row r="9" spans="1:7" s="39" customFormat="1" ht="18.600000000000001">
      <c r="A9" s="47"/>
      <c r="B9" s="207"/>
      <c r="C9" s="360"/>
      <c r="D9" s="305" t="s">
        <v>386</v>
      </c>
      <c r="E9" s="207"/>
      <c r="G9" s="167"/>
    </row>
    <row r="10" spans="1:7" s="39" customFormat="1" ht="24" customHeight="1">
      <c r="A10" s="47"/>
      <c r="B10" s="207"/>
      <c r="C10" s="361" t="s">
        <v>387</v>
      </c>
      <c r="D10" s="361" t="s">
        <v>388</v>
      </c>
      <c r="E10" s="202"/>
      <c r="F10" s="41"/>
      <c r="G10" s="41"/>
    </row>
    <row r="11" spans="1:7" s="39" customFormat="1" ht="49.5" customHeight="1">
      <c r="A11" s="29">
        <v>1</v>
      </c>
      <c r="B11" s="207"/>
      <c r="C11" s="44" t="s">
        <v>389</v>
      </c>
      <c r="D11" s="181">
        <f>VLOOKUP(A11,MAYO_SIMU_CADV_LIV_KDY,9,FALSE)</f>
        <v>8271</v>
      </c>
      <c r="E11" s="202"/>
      <c r="F11" s="41"/>
      <c r="G11" s="41"/>
    </row>
    <row r="12" spans="1:7" s="39" customFormat="1" ht="44.25" customHeight="1">
      <c r="A12" s="29">
        <v>2</v>
      </c>
      <c r="B12" s="207"/>
      <c r="C12" s="44" t="s">
        <v>391</v>
      </c>
      <c r="D12" s="181">
        <f>VLOOKUP(A12,MAYO_SIMU_CADV_LIV_KDY,9,FALSE)</f>
        <v>224676</v>
      </c>
      <c r="E12" s="202"/>
      <c r="F12" s="41"/>
      <c r="G12" s="41"/>
    </row>
    <row r="13" spans="1:7" s="39" customFormat="1" ht="44.25" customHeight="1">
      <c r="A13" s="29">
        <v>3</v>
      </c>
      <c r="B13" s="207"/>
      <c r="C13" s="44" t="s">
        <v>392</v>
      </c>
      <c r="D13" s="181">
        <f>VLOOKUP(A13,MAYO_SIMU_CADV_LIV_KDY,9,FALSE)</f>
        <v>121642</v>
      </c>
      <c r="E13" s="202"/>
      <c r="F13" s="41"/>
      <c r="G13" s="41"/>
    </row>
    <row r="14" spans="1:7" s="39" customFormat="1" ht="44.25" customHeight="1">
      <c r="A14" s="29">
        <v>4</v>
      </c>
      <c r="B14" s="207"/>
      <c r="C14" s="44" t="s">
        <v>393</v>
      </c>
      <c r="D14" s="181">
        <f>VLOOKUP(A14,MAYO_SIMU_CADV_LIV_KDY,9,FALSE)</f>
        <v>44084</v>
      </c>
      <c r="E14" s="202"/>
      <c r="F14" s="41"/>
      <c r="G14" s="41"/>
    </row>
    <row r="15" spans="1:7" s="39" customFormat="1" ht="37.5" customHeight="1">
      <c r="A15" s="47"/>
      <c r="B15" s="207"/>
      <c r="C15" s="306" t="s">
        <v>447</v>
      </c>
      <c r="D15" s="357">
        <f>SUM(D11:D14)</f>
        <v>398673</v>
      </c>
      <c r="E15" s="207"/>
    </row>
    <row r="16" spans="1:7" s="39" customFormat="1" ht="20.100000000000001" customHeight="1">
      <c r="A16" s="47"/>
      <c r="B16" s="207"/>
      <c r="C16" s="358"/>
      <c r="D16" s="359"/>
      <c r="E16" s="203"/>
      <c r="F16" s="30"/>
      <c r="G16" s="30"/>
    </row>
    <row r="17" spans="1:7" s="39" customFormat="1" ht="44.25" customHeight="1">
      <c r="A17" s="29">
        <v>5</v>
      </c>
      <c r="B17" s="207"/>
      <c r="C17" s="44" t="s">
        <v>395</v>
      </c>
      <c r="D17" s="181">
        <f>VLOOKUP(A17,MAYO_SIMU_CADV_LIV_KDY,9,FALSE)</f>
        <v>2554</v>
      </c>
      <c r="E17" s="202"/>
      <c r="F17" s="41"/>
      <c r="G17" s="41"/>
    </row>
    <row r="18" spans="1:7" s="39" customFormat="1" ht="51" customHeight="1">
      <c r="A18" s="29">
        <v>6</v>
      </c>
      <c r="B18" s="207"/>
      <c r="C18" s="52" t="s">
        <v>396</v>
      </c>
      <c r="D18" s="225">
        <f>VLOOKUP(A18,MAYO_SIMU_CADV_LIV_KDY,9,FALSE)</f>
        <v>8014.1928120000002</v>
      </c>
      <c r="E18" s="207"/>
    </row>
    <row r="19" spans="1:7" s="39" customFormat="1" ht="33.950000000000003" customHeight="1">
      <c r="A19" s="47"/>
      <c r="B19" s="207"/>
      <c r="C19" s="203"/>
      <c r="D19" s="293"/>
      <c r="E19" s="207"/>
    </row>
    <row r="20" spans="1:7" ht="60.95" customHeight="1">
      <c r="A20" s="62"/>
      <c r="B20" s="205"/>
      <c r="C20" s="567" t="s">
        <v>417</v>
      </c>
      <c r="D20" s="568"/>
      <c r="E20" s="568"/>
      <c r="F20" s="568"/>
      <c r="G20" s="569"/>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nxmvsvmlnkFxCgUqu7Rce36LCEfPnyvv7YQ5XXSyUwJqr2wtDFCPHXGw32Bk0Cm3o9k/0owZ5plHeMro7PmuNA==" saltValue="Lytci/TYbrYHUPrslcLdHA==" spinCount="100000" sheet="1" objects="1" scenarios="1"/>
  <mergeCells count="6">
    <mergeCell ref="C20:G20"/>
    <mergeCell ref="B3:G3"/>
    <mergeCell ref="B4:G4"/>
    <mergeCell ref="B6:G6"/>
    <mergeCell ref="B7:G7"/>
    <mergeCell ref="B5:G5"/>
  </mergeCells>
  <printOptions horizontalCentered="1"/>
  <pageMargins left="0.25" right="0.25" top="0.25" bottom="0.25" header="0.25" footer="0.25"/>
  <pageSetup scale="77"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78">
    <tabColor theme="6"/>
    <pageSetUpPr fitToPage="1"/>
  </sheetPr>
  <dimension ref="A1:H35"/>
  <sheetViews>
    <sheetView showGridLines="0" topLeftCell="B2" zoomScale="90" zoomScaleNormal="90" zoomScaleSheetLayoutView="70" workbookViewId="0">
      <selection activeCell="F10" sqref="F10"/>
    </sheetView>
  </sheetViews>
  <sheetFormatPr defaultColWidth="9" defaultRowHeight="12.6"/>
  <cols>
    <col min="1" max="1" width="30.625" style="39" hidden="1" customWidth="1"/>
    <col min="2" max="2" width="6.625" style="207" customWidth="1"/>
    <col min="3" max="3" width="64" style="207" customWidth="1"/>
    <col min="4" max="4" width="25.875" style="207" customWidth="1"/>
    <col min="5" max="5" width="18.625" style="207" customWidth="1"/>
    <col min="6" max="6" width="17.625" style="39" customWidth="1"/>
    <col min="7" max="7" width="12.625" style="39" customWidth="1"/>
    <col min="8" max="8" width="17.375" style="39" customWidth="1"/>
    <col min="9" max="9" width="9" style="39" customWidth="1"/>
    <col min="10"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0" t="s">
        <v>538</v>
      </c>
      <c r="C3" s="570"/>
      <c r="D3" s="570"/>
      <c r="E3" s="570"/>
      <c r="F3" s="570"/>
      <c r="G3" s="570"/>
      <c r="H3" s="570"/>
    </row>
    <row r="4" spans="1:8" s="33" customFormat="1" ht="19.899999999999999" customHeight="1">
      <c r="A4" s="31"/>
      <c r="B4" s="570" t="s">
        <v>539</v>
      </c>
      <c r="C4" s="570"/>
      <c r="D4" s="570"/>
      <c r="E4" s="570"/>
      <c r="F4" s="570"/>
      <c r="G4" s="570"/>
      <c r="H4" s="570"/>
    </row>
    <row r="5" spans="1:8" s="33" customFormat="1" ht="19.899999999999999" customHeight="1">
      <c r="A5" s="31"/>
      <c r="B5" s="571" t="s">
        <v>473</v>
      </c>
      <c r="C5" s="571"/>
      <c r="D5" s="571"/>
      <c r="E5" s="571"/>
      <c r="F5" s="571"/>
      <c r="G5" s="571"/>
      <c r="H5" s="571"/>
    </row>
    <row r="6" spans="1:8" s="33" customFormat="1" ht="19.899999999999999" customHeight="1">
      <c r="A6" s="31"/>
      <c r="B6" s="570" t="s">
        <v>516</v>
      </c>
      <c r="C6" s="570"/>
      <c r="D6" s="570"/>
      <c r="E6" s="570"/>
      <c r="F6" s="570"/>
      <c r="G6" s="570"/>
      <c r="H6" s="570"/>
    </row>
    <row r="7" spans="1:8" s="33" customFormat="1" ht="15.6">
      <c r="A7" s="31"/>
      <c r="B7" s="204"/>
      <c r="C7" s="204"/>
      <c r="D7" s="204"/>
      <c r="E7" s="204"/>
      <c r="F7" s="32"/>
      <c r="G7" s="32"/>
      <c r="H7" s="32"/>
    </row>
    <row r="8" spans="1:8" ht="13.9" customHeight="1">
      <c r="A8" s="47"/>
      <c r="C8" s="208"/>
      <c r="D8" s="202" t="s">
        <v>413</v>
      </c>
      <c r="E8" s="202"/>
      <c r="F8" s="41"/>
      <c r="G8" s="41"/>
      <c r="H8" s="41"/>
    </row>
    <row r="9" spans="1:8" ht="24.95" customHeight="1">
      <c r="A9" s="47"/>
      <c r="C9" s="305" t="s">
        <v>387</v>
      </c>
      <c r="D9" s="305" t="s">
        <v>388</v>
      </c>
      <c r="E9" s="202"/>
      <c r="F9" s="41"/>
      <c r="G9" s="167"/>
      <c r="H9" s="41"/>
    </row>
    <row r="10" spans="1:8" ht="50.1" customHeight="1">
      <c r="A10" s="29">
        <v>1</v>
      </c>
      <c r="C10" s="44" t="s">
        <v>389</v>
      </c>
      <c r="D10" s="181">
        <f>VLOOKUP(A10,MAYO_SIMU_KDY_PANCREAS,9,FALSE)</f>
        <v>5518</v>
      </c>
      <c r="E10" s="202"/>
      <c r="F10" s="41"/>
      <c r="G10" s="41"/>
    </row>
    <row r="11" spans="1:8" ht="44.25" customHeight="1">
      <c r="A11" s="29">
        <v>2</v>
      </c>
      <c r="C11" s="44" t="s">
        <v>391</v>
      </c>
      <c r="D11" s="181">
        <f>VLOOKUP(A11,MAYO_SIMU_KDY_PANCREAS,9,FALSE)</f>
        <v>133156</v>
      </c>
      <c r="E11" s="202"/>
      <c r="F11" s="41"/>
      <c r="G11" s="41"/>
    </row>
    <row r="12" spans="1:8" ht="44.25" customHeight="1">
      <c r="A12" s="29">
        <v>3</v>
      </c>
      <c r="C12" s="44" t="s">
        <v>392</v>
      </c>
      <c r="D12" s="181">
        <f>VLOOKUP(A12,MAYO_SIMU_KDY_PANCREAS,9,FALSE)</f>
        <v>56004</v>
      </c>
      <c r="E12" s="202"/>
      <c r="F12" s="41"/>
      <c r="G12" s="41"/>
    </row>
    <row r="13" spans="1:8" ht="44.25" customHeight="1">
      <c r="A13" s="29">
        <v>4</v>
      </c>
      <c r="C13" s="44" t="s">
        <v>393</v>
      </c>
      <c r="D13" s="181">
        <f>VLOOKUP(A13,MAYO_SIMU_KDY_PANCREAS,9,FALSE)</f>
        <v>9021</v>
      </c>
      <c r="E13" s="202"/>
      <c r="F13" s="41"/>
      <c r="G13" s="41"/>
    </row>
    <row r="14" spans="1:8" ht="37.5" customHeight="1">
      <c r="A14" s="47"/>
      <c r="C14" s="306" t="s">
        <v>540</v>
      </c>
      <c r="D14" s="357">
        <f>SUM(D10:D13)</f>
        <v>203699</v>
      </c>
    </row>
    <row r="15" spans="1:8" ht="20.100000000000001" customHeight="1">
      <c r="A15" s="47"/>
      <c r="C15" s="358"/>
      <c r="D15" s="359"/>
      <c r="E15" s="203"/>
      <c r="F15" s="30"/>
      <c r="G15" s="30"/>
    </row>
    <row r="16" spans="1:8" ht="44.25" customHeight="1">
      <c r="A16" s="29">
        <v>5</v>
      </c>
      <c r="C16" s="44" t="s">
        <v>395</v>
      </c>
      <c r="D16" s="181">
        <f>VLOOKUP(A16,MAYO_SIMU_KDY_PANCREAS,9,FALSE)</f>
        <v>2554</v>
      </c>
      <c r="E16" s="202"/>
      <c r="F16" s="41"/>
      <c r="G16" s="41"/>
    </row>
    <row r="17" spans="1:7" ht="51" customHeight="1">
      <c r="A17" s="29">
        <v>6</v>
      </c>
      <c r="C17" s="52" t="s">
        <v>396</v>
      </c>
      <c r="D17" s="225">
        <f>VLOOKUP(A17,MAYO_SIMU_KDY_PANCREAS,9,FALSE)</f>
        <v>8014.1928120000002</v>
      </c>
    </row>
    <row r="18" spans="1:7" ht="24" customHeight="1">
      <c r="A18" s="47"/>
      <c r="D18" s="293"/>
    </row>
    <row r="19" spans="1:7" s="38" customFormat="1" ht="59.1" customHeight="1">
      <c r="A19" s="37"/>
      <c r="B19" s="207"/>
      <c r="C19" s="567" t="s">
        <v>417</v>
      </c>
      <c r="D19" s="568"/>
      <c r="E19" s="568"/>
      <c r="F19" s="568"/>
      <c r="G19" s="569"/>
    </row>
    <row r="20" spans="1:7">
      <c r="A20" s="47"/>
      <c r="D20" s="215"/>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Wl3G5ePIkW5asL3v68v0/IaN4R4SpOuPjUKKX5DnG1zBwD/AHUoOabCt4BWMj3zXxh9tm59oFw6c1lyZdKdavg==" saltValue="p2bnUKX7k2LVkBvXvAs9cA==" spinCount="100000" sheet="1" objects="1" scenarios="1"/>
  <mergeCells count="5">
    <mergeCell ref="C19:G19"/>
    <mergeCell ref="B3:H3"/>
    <mergeCell ref="B4:H4"/>
    <mergeCell ref="B5:H5"/>
    <mergeCell ref="B6:H6"/>
  </mergeCells>
  <printOptions horizontalCentered="1"/>
  <pageMargins left="0.25" right="0.25" top="0.25" bottom="0.25" header="0.25" footer="0.25"/>
  <pageSetup scale="68"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9">
    <tabColor theme="6"/>
    <pageSetUpPr fitToPage="1"/>
  </sheetPr>
  <dimension ref="A1:G35"/>
  <sheetViews>
    <sheetView showGridLines="0" topLeftCell="B2" zoomScale="90" zoomScaleNormal="90" zoomScaleSheetLayoutView="70" workbookViewId="0">
      <selection activeCell="G13" sqref="G13"/>
    </sheetView>
  </sheetViews>
  <sheetFormatPr defaultColWidth="9" defaultRowHeight="12.6"/>
  <cols>
    <col min="1" max="1" width="30.625" style="48" hidden="1" customWidth="1"/>
    <col min="2" max="2" width="6.625" style="290" customWidth="1"/>
    <col min="3" max="3" width="64" style="290" customWidth="1"/>
    <col min="4" max="4" width="23.75" style="290" customWidth="1"/>
    <col min="5" max="5" width="11.625" style="290" customWidth="1"/>
    <col min="6" max="6" width="11.25" style="48" customWidth="1"/>
    <col min="7" max="7" width="26.625" style="48" customWidth="1"/>
    <col min="8" max="8" width="12.5" style="48" customWidth="1"/>
    <col min="9" max="9" width="8.875" style="48" customWidth="1"/>
    <col min="10"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c r="B2" s="207"/>
      <c r="C2" s="207"/>
      <c r="D2" s="207"/>
      <c r="E2" s="207"/>
      <c r="F2" s="39"/>
      <c r="G2" s="39"/>
    </row>
    <row r="3" spans="1:7" ht="19.899999999999999" customHeight="1">
      <c r="A3" s="62"/>
      <c r="B3" s="570" t="s">
        <v>538</v>
      </c>
      <c r="C3" s="570"/>
      <c r="D3" s="570"/>
      <c r="E3" s="570"/>
      <c r="F3" s="570"/>
      <c r="G3" s="570"/>
    </row>
    <row r="4" spans="1:7" ht="19.899999999999999" customHeight="1">
      <c r="A4" s="62"/>
      <c r="B4" s="570" t="s">
        <v>467</v>
      </c>
      <c r="C4" s="570"/>
      <c r="D4" s="570"/>
      <c r="E4" s="570"/>
      <c r="F4" s="570"/>
      <c r="G4" s="570"/>
    </row>
    <row r="5" spans="1:7" s="94" customFormat="1" ht="19.899999999999999" customHeight="1">
      <c r="A5" s="93"/>
      <c r="B5" s="571" t="s">
        <v>473</v>
      </c>
      <c r="C5" s="571"/>
      <c r="D5" s="571"/>
      <c r="E5" s="571"/>
      <c r="F5" s="571"/>
      <c r="G5" s="571"/>
    </row>
    <row r="6" spans="1:7" ht="19.899999999999999" customHeight="1">
      <c r="A6" s="62"/>
      <c r="B6" s="570" t="s">
        <v>516</v>
      </c>
      <c r="C6" s="570"/>
      <c r="D6" s="570"/>
      <c r="E6" s="570"/>
      <c r="F6" s="570"/>
      <c r="G6" s="570"/>
    </row>
    <row r="7" spans="1:7" ht="19.899999999999999" customHeight="1">
      <c r="A7" s="62"/>
      <c r="B7" s="204"/>
      <c r="C7" s="204"/>
      <c r="D7" s="204"/>
      <c r="E7" s="204"/>
      <c r="F7" s="32"/>
      <c r="G7" s="32"/>
    </row>
    <row r="8" spans="1:7" s="39" customFormat="1" ht="18" customHeight="1">
      <c r="A8" s="47"/>
      <c r="B8" s="207"/>
      <c r="C8" s="208"/>
      <c r="D8" s="202" t="s">
        <v>413</v>
      </c>
      <c r="E8" s="202"/>
      <c r="F8" s="41"/>
      <c r="G8" s="41"/>
    </row>
    <row r="9" spans="1:7" s="39" customFormat="1" ht="18.600000000000001">
      <c r="A9" s="47"/>
      <c r="B9" s="207"/>
      <c r="C9" s="305" t="s">
        <v>387</v>
      </c>
      <c r="D9" s="305" t="s">
        <v>388</v>
      </c>
      <c r="E9" s="202"/>
      <c r="F9" s="41"/>
      <c r="G9" s="167"/>
    </row>
    <row r="10" spans="1:7" s="39" customFormat="1" ht="54" customHeight="1">
      <c r="A10" s="29">
        <v>1</v>
      </c>
      <c r="B10" s="207"/>
      <c r="C10" s="44" t="s">
        <v>389</v>
      </c>
      <c r="D10" s="181">
        <f>VLOOKUP(A10,MAYO_PANCREASafter_KDY,9,FALSE)</f>
        <v>3843</v>
      </c>
      <c r="E10" s="202"/>
      <c r="F10" s="41"/>
      <c r="G10" s="41"/>
    </row>
    <row r="11" spans="1:7" s="39" customFormat="1" ht="44.25" customHeight="1">
      <c r="A11" s="29">
        <v>2</v>
      </c>
      <c r="B11" s="207"/>
      <c r="C11" s="44" t="s">
        <v>391</v>
      </c>
      <c r="D11" s="181">
        <f>VLOOKUP(A11,MAYO_PANCREASafter_KDY,9,FALSE)</f>
        <v>72777</v>
      </c>
      <c r="E11" s="202"/>
      <c r="F11" s="41"/>
      <c r="G11" s="41"/>
    </row>
    <row r="12" spans="1:7" s="39" customFormat="1" ht="44.25" customHeight="1">
      <c r="A12" s="29">
        <v>3</v>
      </c>
      <c r="B12" s="207"/>
      <c r="C12" s="44" t="s">
        <v>392</v>
      </c>
      <c r="D12" s="181">
        <f>VLOOKUP(A12,MAYO_PANCREASafter_KDY,9,FALSE)</f>
        <v>60523</v>
      </c>
      <c r="E12" s="202"/>
      <c r="F12" s="41"/>
      <c r="G12" s="41"/>
    </row>
    <row r="13" spans="1:7" s="39" customFormat="1" ht="44.25" customHeight="1">
      <c r="A13" s="29">
        <v>4</v>
      </c>
      <c r="B13" s="207"/>
      <c r="C13" s="44" t="s">
        <v>393</v>
      </c>
      <c r="D13" s="181">
        <f>VLOOKUP(A13,MAYO_PANCREASafter_KDY,9,FALSE)</f>
        <v>13748</v>
      </c>
      <c r="E13" s="202"/>
      <c r="F13" s="41"/>
      <c r="G13" s="41"/>
    </row>
    <row r="14" spans="1:7" s="39" customFormat="1" ht="37.5" customHeight="1">
      <c r="A14" s="47"/>
      <c r="B14" s="207"/>
      <c r="C14" s="306" t="s">
        <v>541</v>
      </c>
      <c r="D14" s="357">
        <f>SUM(D10:D13)</f>
        <v>150891</v>
      </c>
      <c r="E14" s="207"/>
    </row>
    <row r="15" spans="1:7" s="39" customFormat="1" ht="20.100000000000001" customHeight="1">
      <c r="A15" s="47"/>
      <c r="B15" s="207"/>
      <c r="C15" s="358"/>
      <c r="D15" s="359"/>
      <c r="E15" s="203"/>
      <c r="F15" s="30"/>
      <c r="G15" s="30"/>
    </row>
    <row r="16" spans="1:7" s="39" customFormat="1" ht="44.25" customHeight="1">
      <c r="A16" s="29">
        <v>5</v>
      </c>
      <c r="B16" s="207"/>
      <c r="C16" s="44" t="s">
        <v>395</v>
      </c>
      <c r="D16" s="181">
        <f>VLOOKUP(A16,MAYO_PANCREASafter_KDY,9,FALSE)</f>
        <v>2554</v>
      </c>
      <c r="E16" s="202"/>
      <c r="F16" s="41"/>
      <c r="G16" s="41"/>
    </row>
    <row r="17" spans="1:7" s="39" customFormat="1" ht="51" customHeight="1">
      <c r="A17" s="29">
        <v>6</v>
      </c>
      <c r="B17" s="207"/>
      <c r="C17" s="52" t="s">
        <v>396</v>
      </c>
      <c r="D17" s="225">
        <f>VLOOKUP(A17,MAYO_PANCREASafter_KDY,9,FALSE)</f>
        <v>8014.1928120000002</v>
      </c>
      <c r="E17" s="207"/>
    </row>
    <row r="18" spans="1:7" s="39" customFormat="1" ht="24" customHeight="1">
      <c r="A18" s="47"/>
      <c r="B18" s="207"/>
      <c r="C18" s="207"/>
      <c r="D18" s="293"/>
      <c r="E18" s="207"/>
    </row>
    <row r="19" spans="1:7" s="38" customFormat="1" ht="59.1" customHeight="1">
      <c r="A19" s="37"/>
      <c r="B19" s="207"/>
      <c r="C19" s="567" t="s">
        <v>417</v>
      </c>
      <c r="D19" s="568"/>
      <c r="E19" s="568"/>
      <c r="F19" s="568"/>
      <c r="G19" s="569"/>
    </row>
    <row r="20" spans="1:7" s="39" customFormat="1">
      <c r="A20" s="47"/>
      <c r="B20" s="207"/>
      <c r="C20" s="218"/>
      <c r="D20" s="207"/>
      <c r="E20" s="207"/>
    </row>
    <row r="21" spans="1:7" s="39" customFormat="1">
      <c r="A21" s="47"/>
      <c r="B21" s="207"/>
      <c r="C21" s="207"/>
      <c r="D21" s="207"/>
      <c r="E21" s="207"/>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5qwsv3+611wJuEQRxgC/eJeWAJI/EybYOzLD2RshKPtKtEwjKB83hTC8T3j+zu9tztKT1qStHrAMcZ9xA8rFpw==" saltValue="USROXcoc/Ug3RKhtSif50Q==" spinCount="100000" sheet="1" objects="1" scenarios="1"/>
  <mergeCells count="5">
    <mergeCell ref="C19:G19"/>
    <mergeCell ref="B3:G3"/>
    <mergeCell ref="B4:G4"/>
    <mergeCell ref="B5:G5"/>
    <mergeCell ref="B6:G6"/>
  </mergeCells>
  <printOptions horizontalCentered="1"/>
  <pageMargins left="0.25" right="0.25" top="0.25" bottom="0.25" header="0.25" footer="0.25"/>
  <pageSetup scale="76"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80">
    <tabColor theme="7"/>
    <pageSetUpPr fitToPage="1"/>
  </sheetPr>
  <dimension ref="A1:J35"/>
  <sheetViews>
    <sheetView showGridLines="0" topLeftCell="B2" zoomScale="90" zoomScaleNormal="90" zoomScaleSheetLayoutView="70" workbookViewId="0">
      <selection activeCell="C5" sqref="C5:G5"/>
    </sheetView>
  </sheetViews>
  <sheetFormatPr defaultColWidth="9" defaultRowHeight="12.6"/>
  <cols>
    <col min="1" max="1" width="30.625" style="39" hidden="1" customWidth="1"/>
    <col min="2" max="2" width="6.625" style="207" customWidth="1"/>
    <col min="3" max="3" width="64" style="207" customWidth="1"/>
    <col min="4" max="4" width="24.375" style="207" customWidth="1"/>
    <col min="5" max="5" width="18.625" style="207" customWidth="1"/>
    <col min="6" max="6" width="18.625" style="39" customWidth="1"/>
    <col min="7" max="7" width="12.625" style="39" customWidth="1"/>
    <col min="8" max="8" width="9" style="39" customWidth="1"/>
    <col min="9" max="16384" width="9" style="39"/>
  </cols>
  <sheetData>
    <row r="1" spans="1:10" s="483" customFormat="1" ht="20.100000000000001" hidden="1" customHeight="1">
      <c r="A1" s="481" t="e" cm="1">
        <f t="array" aca="1" ref="A1" ca="1">MID(CELL("filename",A1),FIND("]",CELL("filename",A1))+1,255)</f>
        <v>#VALUE!</v>
      </c>
      <c r="B1" s="482"/>
      <c r="C1" s="29">
        <v>3</v>
      </c>
      <c r="D1" s="29">
        <v>4</v>
      </c>
    </row>
    <row r="2" spans="1:10">
      <c r="A2" s="47"/>
      <c r="I2" s="108"/>
    </row>
    <row r="3" spans="1:10" s="33" customFormat="1" ht="19.899999999999999" customHeight="1">
      <c r="A3" s="31"/>
      <c r="B3" s="570" t="s">
        <v>542</v>
      </c>
      <c r="C3" s="570"/>
      <c r="D3" s="570"/>
      <c r="E3" s="570"/>
      <c r="F3" s="570"/>
      <c r="G3" s="570"/>
    </row>
    <row r="4" spans="1:10" s="33" customFormat="1" ht="19.899999999999999" customHeight="1">
      <c r="A4" s="31"/>
      <c r="B4" s="570" t="s">
        <v>526</v>
      </c>
      <c r="C4" s="570"/>
      <c r="D4" s="570"/>
      <c r="E4" s="570"/>
      <c r="F4" s="570"/>
      <c r="G4" s="570"/>
    </row>
    <row r="5" spans="1:10" s="33" customFormat="1" ht="19.899999999999999" customHeight="1">
      <c r="A5" s="31"/>
      <c r="B5" s="345"/>
      <c r="C5" s="571" t="s">
        <v>543</v>
      </c>
      <c r="D5" s="571"/>
      <c r="E5" s="571"/>
      <c r="F5" s="571"/>
      <c r="G5" s="571"/>
      <c r="H5" s="85"/>
      <c r="I5" s="85"/>
    </row>
    <row r="6" spans="1:10" s="33" customFormat="1" ht="19.899999999999999" customHeight="1">
      <c r="A6" s="31"/>
      <c r="B6" s="572" t="s">
        <v>544</v>
      </c>
      <c r="C6" s="572"/>
      <c r="D6" s="572"/>
      <c r="E6" s="572"/>
      <c r="F6" s="570"/>
      <c r="G6" s="570"/>
    </row>
    <row r="7" spans="1:10" s="33" customFormat="1" ht="12.75" customHeight="1">
      <c r="A7" s="31"/>
      <c r="B7" s="204" t="s">
        <v>80</v>
      </c>
      <c r="C7" s="204" t="s">
        <v>80</v>
      </c>
      <c r="D7" s="204"/>
      <c r="E7" s="204"/>
      <c r="F7" s="32"/>
      <c r="G7" s="32"/>
    </row>
    <row r="8" spans="1:10" ht="15" customHeight="1">
      <c r="A8" s="47"/>
      <c r="C8" s="208"/>
      <c r="D8" s="291" t="s">
        <v>451</v>
      </c>
      <c r="E8" s="208"/>
      <c r="F8" s="40"/>
      <c r="G8" s="40"/>
    </row>
    <row r="9" spans="1:10" ht="24.95" customHeight="1">
      <c r="A9" s="47"/>
      <c r="C9" s="146" t="s">
        <v>387</v>
      </c>
      <c r="D9" s="146" t="s">
        <v>388</v>
      </c>
      <c r="E9" s="208"/>
      <c r="F9" s="40"/>
      <c r="G9" s="167"/>
    </row>
    <row r="10" spans="1:10" ht="47.25" customHeight="1">
      <c r="A10" s="29">
        <v>1</v>
      </c>
      <c r="C10" s="44" t="s">
        <v>389</v>
      </c>
      <c r="D10" s="158">
        <f>VLOOKUP(A10,PCH_PED_BMT_AUTO,9,FALSE)</f>
        <v>6509</v>
      </c>
      <c r="E10" s="202"/>
      <c r="F10" s="106"/>
      <c r="G10" s="41"/>
    </row>
    <row r="11" spans="1:10" ht="44.45" customHeight="1">
      <c r="A11" s="29">
        <v>2</v>
      </c>
      <c r="C11" s="220" t="s">
        <v>390</v>
      </c>
      <c r="D11" s="158">
        <f>VLOOKUP(A11,PCH_PED_BMT_AUTO,9,FALSE)</f>
        <v>17147</v>
      </c>
      <c r="E11" s="211"/>
      <c r="F11" s="106"/>
    </row>
    <row r="12" spans="1:10" ht="39.950000000000003" customHeight="1">
      <c r="A12" s="29">
        <v>3</v>
      </c>
      <c r="C12" s="220" t="s">
        <v>391</v>
      </c>
      <c r="D12" s="158">
        <f>VLOOKUP(A12,PCH_PED_BMT_AUTO,9,FALSE)</f>
        <v>63845</v>
      </c>
      <c r="E12" s="211"/>
      <c r="F12" s="106"/>
    </row>
    <row r="13" spans="1:10" ht="39.950000000000003" customHeight="1">
      <c r="A13" s="29">
        <v>4</v>
      </c>
      <c r="C13" s="212" t="s">
        <v>392</v>
      </c>
      <c r="D13" s="158">
        <f>VLOOKUP(A13,PCH_PED_BMT_AUTO,9,FALSE)</f>
        <v>86558</v>
      </c>
      <c r="E13" s="211"/>
      <c r="F13" s="106"/>
    </row>
    <row r="14" spans="1:10" ht="39.950000000000003" customHeight="1">
      <c r="A14" s="29">
        <v>5</v>
      </c>
      <c r="C14" s="212" t="s">
        <v>393</v>
      </c>
      <c r="D14" s="158">
        <f>VLOOKUP(A14,PCH_PED_BMT_AUTO,9,FALSE)</f>
        <v>12295</v>
      </c>
      <c r="E14" s="211"/>
      <c r="F14" s="106"/>
    </row>
    <row r="15" spans="1:10" ht="39.950000000000003" customHeight="1">
      <c r="A15" s="47"/>
      <c r="C15" s="213" t="s">
        <v>461</v>
      </c>
      <c r="D15" s="214">
        <f>SUM(D10:D14)</f>
        <v>186354</v>
      </c>
      <c r="E15" s="207" t="s">
        <v>80</v>
      </c>
      <c r="F15" s="106"/>
      <c r="G15" s="109"/>
      <c r="H15" s="109"/>
      <c r="I15" s="109"/>
      <c r="J15" s="109"/>
    </row>
    <row r="16" spans="1:10">
      <c r="A16" s="47"/>
      <c r="D16" s="224"/>
    </row>
    <row r="17" spans="1:9" ht="52.5" customHeight="1">
      <c r="A17" s="29">
        <v>6</v>
      </c>
      <c r="C17" s="216" t="s">
        <v>395</v>
      </c>
      <c r="D17" s="158">
        <f>VLOOKUP(A17,PCH_PED_BMT_AUTO,9,FALSE)</f>
        <v>2554</v>
      </c>
      <c r="E17" s="203"/>
      <c r="F17" s="30"/>
      <c r="G17" s="30"/>
    </row>
    <row r="18" spans="1:9" ht="54.95" customHeight="1">
      <c r="A18" s="29">
        <v>7</v>
      </c>
      <c r="C18" s="52" t="s">
        <v>396</v>
      </c>
      <c r="D18" s="225">
        <f>VLOOKUP(A18,PCH_PED_BMT_AUTO,9,FALSE)</f>
        <v>8014.1928120000002</v>
      </c>
    </row>
    <row r="19" spans="1:9" ht="30" customHeight="1">
      <c r="A19" s="47"/>
      <c r="D19" s="293"/>
    </row>
    <row r="20" spans="1:9" s="38" customFormat="1" ht="48" customHeight="1">
      <c r="A20" s="37"/>
      <c r="B20" s="205"/>
      <c r="C20" s="567" t="s">
        <v>417</v>
      </c>
      <c r="D20" s="568"/>
      <c r="E20" s="568"/>
      <c r="F20" s="568"/>
      <c r="G20" s="569"/>
    </row>
    <row r="21" spans="1:9" ht="17.100000000000001" customHeight="1">
      <c r="A21" s="47"/>
      <c r="C21" s="218"/>
    </row>
    <row r="22" spans="1:9" ht="27.6" customHeight="1">
      <c r="A22" s="47"/>
      <c r="C22" s="567" t="s">
        <v>452</v>
      </c>
      <c r="D22" s="568"/>
      <c r="E22" s="568"/>
      <c r="F22" s="568"/>
      <c r="G22" s="569"/>
    </row>
    <row r="23" spans="1:9" ht="19.5" customHeight="1">
      <c r="A23" s="47"/>
    </row>
    <row r="24" spans="1:9" ht="36.75" customHeight="1">
      <c r="A24" s="47"/>
      <c r="C24" s="567" t="s">
        <v>398</v>
      </c>
      <c r="D24" s="568"/>
      <c r="E24" s="568"/>
      <c r="F24" s="568"/>
      <c r="G24" s="569"/>
      <c r="H24" s="48"/>
      <c r="I24" s="48"/>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sheetData>
  <sheetProtection algorithmName="SHA-512" hashValue="eG5icAItIvdMVPDzIsGE79LgS25O1ydTibantRxqUqlj4CN5NacqsYa10oWysjJ4elv8HMBB6m/T70valqIsng==" saltValue="dgzZJAEBZoWGs1eC3qMUtg==" spinCount="100000" sheet="1" objects="1" scenarios="1"/>
  <mergeCells count="7">
    <mergeCell ref="C24:G24"/>
    <mergeCell ref="C22:G22"/>
    <mergeCell ref="C20:G20"/>
    <mergeCell ref="B3:G3"/>
    <mergeCell ref="B4:G4"/>
    <mergeCell ref="B6:G6"/>
    <mergeCell ref="C5:G5"/>
  </mergeCells>
  <printOptions horizontalCentered="1"/>
  <pageMargins left="0.25" right="0.25" top="0.25" bottom="0.25" header="0.25" footer="0.25"/>
  <pageSetup scale="72"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81">
    <tabColor theme="7"/>
    <pageSetUpPr fitToPage="1"/>
  </sheetPr>
  <dimension ref="A1:I35"/>
  <sheetViews>
    <sheetView showGridLines="0" topLeftCell="B2" zoomScale="90" zoomScaleNormal="90" zoomScaleSheetLayoutView="70" workbookViewId="0">
      <selection activeCell="B5" sqref="B5:F5"/>
    </sheetView>
  </sheetViews>
  <sheetFormatPr defaultColWidth="9" defaultRowHeight="12.6"/>
  <cols>
    <col min="1" max="1" width="30.625" style="39" hidden="1" customWidth="1"/>
    <col min="2" max="2" width="6.625" style="207" customWidth="1"/>
    <col min="3" max="3" width="64" style="207" customWidth="1"/>
    <col min="4" max="4" width="28.5" style="207" customWidth="1"/>
    <col min="5" max="5" width="18.625" style="207" customWidth="1"/>
    <col min="6" max="6" width="18.625" style="39" customWidth="1"/>
    <col min="7" max="7" width="12.625" style="39" customWidth="1"/>
    <col min="8" max="8" width="9" style="39" customWidth="1"/>
    <col min="9"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1" t="s">
        <v>542</v>
      </c>
      <c r="C3" s="571"/>
      <c r="D3" s="571"/>
      <c r="E3" s="571"/>
      <c r="F3" s="83"/>
      <c r="G3" s="83"/>
    </row>
    <row r="4" spans="1:9" s="33" customFormat="1" ht="19.899999999999999" customHeight="1">
      <c r="A4" s="31"/>
      <c r="B4" s="571" t="s">
        <v>528</v>
      </c>
      <c r="C4" s="571"/>
      <c r="D4" s="571"/>
      <c r="E4" s="571"/>
      <c r="F4" s="83"/>
      <c r="G4" s="83"/>
    </row>
    <row r="5" spans="1:9" s="33" customFormat="1" ht="19.899999999999999" customHeight="1">
      <c r="A5" s="31"/>
      <c r="B5" s="571" t="s">
        <v>543</v>
      </c>
      <c r="C5" s="571"/>
      <c r="D5" s="571"/>
      <c r="E5" s="571"/>
      <c r="F5" s="85"/>
      <c r="G5" s="85"/>
      <c r="H5" s="85"/>
      <c r="I5" s="85"/>
    </row>
    <row r="6" spans="1:9" s="33" customFormat="1" ht="19.899999999999999" customHeight="1">
      <c r="A6" s="31"/>
      <c r="B6" s="571" t="s">
        <v>544</v>
      </c>
      <c r="C6" s="571"/>
      <c r="D6" s="571"/>
      <c r="E6" s="571"/>
      <c r="F6" s="83"/>
      <c r="G6" s="83"/>
    </row>
    <row r="7" spans="1:9" s="38" customFormat="1" ht="18.75" customHeight="1">
      <c r="A7" s="37"/>
      <c r="B7" s="205" t="s">
        <v>80</v>
      </c>
      <c r="C7" s="206"/>
      <c r="D7" s="205"/>
      <c r="E7" s="205"/>
    </row>
    <row r="8" spans="1:9" ht="13.9" customHeight="1">
      <c r="A8" s="47"/>
      <c r="C8" s="208"/>
      <c r="D8" s="291" t="s">
        <v>451</v>
      </c>
      <c r="E8" s="208"/>
      <c r="F8" s="40"/>
      <c r="G8" s="40"/>
    </row>
    <row r="9" spans="1:9" ht="41.45" customHeight="1">
      <c r="A9" s="47"/>
      <c r="C9" s="146" t="s">
        <v>387</v>
      </c>
      <c r="D9" s="146" t="s">
        <v>388</v>
      </c>
      <c r="G9" s="167"/>
    </row>
    <row r="10" spans="1:9" ht="52.5" customHeight="1">
      <c r="A10" s="29">
        <v>1</v>
      </c>
      <c r="C10" s="44" t="s">
        <v>389</v>
      </c>
      <c r="D10" s="158">
        <f t="shared" ref="D10:D15" si="0">VLOOKUP(A10,PCH_PED_BMT_ALLO_RELATE,9,FALSE)</f>
        <v>6554</v>
      </c>
      <c r="F10" s="107"/>
    </row>
    <row r="11" spans="1:9" ht="57.75" customHeight="1">
      <c r="A11" s="29">
        <v>2</v>
      </c>
      <c r="C11" s="219" t="s">
        <v>545</v>
      </c>
      <c r="D11" s="158">
        <f t="shared" si="0"/>
        <v>5359</v>
      </c>
      <c r="F11" s="107"/>
    </row>
    <row r="12" spans="1:9" ht="39.950000000000003" customHeight="1">
      <c r="A12" s="29">
        <v>3</v>
      </c>
      <c r="C12" s="219" t="s">
        <v>546</v>
      </c>
      <c r="D12" s="158">
        <f t="shared" si="0"/>
        <v>17682</v>
      </c>
      <c r="F12" s="107"/>
    </row>
    <row r="13" spans="1:9" ht="39.950000000000003" customHeight="1">
      <c r="A13" s="29">
        <v>4</v>
      </c>
      <c r="C13" s="220" t="s">
        <v>391</v>
      </c>
      <c r="D13" s="158">
        <f t="shared" si="0"/>
        <v>154611</v>
      </c>
      <c r="F13" s="107"/>
    </row>
    <row r="14" spans="1:9" ht="39.950000000000003" customHeight="1">
      <c r="A14" s="29">
        <v>5</v>
      </c>
      <c r="C14" s="212" t="s">
        <v>392</v>
      </c>
      <c r="D14" s="158">
        <f t="shared" si="0"/>
        <v>209614</v>
      </c>
      <c r="F14" s="107"/>
    </row>
    <row r="15" spans="1:9" ht="39.950000000000003" customHeight="1">
      <c r="A15" s="29">
        <v>6</v>
      </c>
      <c r="C15" s="212" t="s">
        <v>393</v>
      </c>
      <c r="D15" s="158">
        <f t="shared" si="0"/>
        <v>29788</v>
      </c>
      <c r="E15" s="207" t="s">
        <v>80</v>
      </c>
      <c r="F15" s="107"/>
    </row>
    <row r="16" spans="1:9" ht="39.950000000000003" customHeight="1">
      <c r="A16" s="47"/>
      <c r="C16" s="213" t="s">
        <v>547</v>
      </c>
      <c r="D16" s="214">
        <f>SUM(D10:D15)</f>
        <v>423608</v>
      </c>
      <c r="E16" s="203"/>
      <c r="F16" s="30"/>
    </row>
    <row r="17" spans="1:9">
      <c r="A17" s="47"/>
      <c r="D17" s="224"/>
    </row>
    <row r="18" spans="1:9" ht="56.25" customHeight="1">
      <c r="A18" s="29">
        <v>7</v>
      </c>
      <c r="C18" s="216" t="s">
        <v>395</v>
      </c>
      <c r="D18" s="158">
        <f>VLOOKUP(A18,PCH_PED_BMT_ALLO_RELATE,9,FALSE)</f>
        <v>2554</v>
      </c>
      <c r="E18" s="203"/>
      <c r="F18" s="30"/>
      <c r="G18" s="30"/>
    </row>
    <row r="19" spans="1:9" ht="56.25" customHeight="1">
      <c r="A19" s="29">
        <v>8</v>
      </c>
      <c r="C19" s="52" t="s">
        <v>396</v>
      </c>
      <c r="D19" s="184">
        <f>VLOOKUP(A19,PCH_PED_BMT_ALLO_RELATE,9,FALSE)</f>
        <v>8014.1928120000002</v>
      </c>
      <c r="E19" s="45"/>
      <c r="F19" s="45"/>
      <c r="G19" s="45"/>
    </row>
    <row r="20" spans="1:9" ht="27.6" customHeight="1">
      <c r="A20" s="47"/>
      <c r="D20" s="227"/>
      <c r="E20" s="45"/>
      <c r="F20" s="45"/>
      <c r="G20" s="45"/>
    </row>
    <row r="21" spans="1:9" ht="18.95" customHeight="1">
      <c r="A21" s="47"/>
      <c r="D21" s="355" t="s">
        <v>409</v>
      </c>
    </row>
    <row r="22" spans="1:9" ht="63.95" customHeight="1">
      <c r="A22" s="29">
        <v>9</v>
      </c>
      <c r="C22" s="228" t="s">
        <v>548</v>
      </c>
      <c r="D22" s="240">
        <f>VLOOKUP(A22,PCH_PED_BMT_ALLO_RELATE,9,FALSE)</f>
        <v>1533025</v>
      </c>
      <c r="F22" s="30"/>
      <c r="G22" s="30"/>
    </row>
    <row r="23" spans="1:9" ht="38.1" customHeight="1">
      <c r="A23" s="29">
        <v>10</v>
      </c>
      <c r="C23" s="230" t="s">
        <v>411</v>
      </c>
      <c r="D23" s="231">
        <f>VLOOKUP(A23,PCH_PED_BMT_ALLO_RELATE,9,FALSE)</f>
        <v>0.5</v>
      </c>
      <c r="F23" s="30"/>
      <c r="G23" s="30"/>
    </row>
    <row r="24" spans="1:9" ht="35.1" customHeight="1">
      <c r="A24" s="47"/>
      <c r="D24" s="293"/>
    </row>
    <row r="25" spans="1:9" s="38" customFormat="1" ht="59.45" customHeight="1">
      <c r="A25" s="37"/>
      <c r="B25" s="205"/>
      <c r="C25" s="567" t="s">
        <v>458</v>
      </c>
      <c r="D25" s="568"/>
      <c r="E25" s="568"/>
      <c r="F25" s="568"/>
      <c r="G25" s="569"/>
    </row>
    <row r="26" spans="1:9" ht="12.6" customHeight="1">
      <c r="A26" s="47"/>
      <c r="C26" s="356"/>
      <c r="D26" s="607"/>
      <c r="E26" s="607"/>
      <c r="F26" s="607"/>
    </row>
    <row r="27" spans="1:9" ht="26.45" customHeight="1">
      <c r="A27" s="47"/>
      <c r="C27" s="567" t="s">
        <v>452</v>
      </c>
      <c r="D27" s="568"/>
      <c r="E27" s="568"/>
      <c r="F27" s="568"/>
      <c r="G27" s="569"/>
    </row>
    <row r="28" spans="1:9">
      <c r="A28" s="47"/>
    </row>
    <row r="29" spans="1:9" ht="36.75" customHeight="1">
      <c r="A29" s="47"/>
      <c r="C29" s="567" t="s">
        <v>398</v>
      </c>
      <c r="D29" s="568"/>
      <c r="E29" s="568"/>
      <c r="F29" s="568"/>
      <c r="G29" s="569"/>
      <c r="H29" s="48"/>
      <c r="I29" s="48"/>
    </row>
    <row r="30" spans="1:9">
      <c r="A30" s="47"/>
    </row>
    <row r="31" spans="1:9">
      <c r="A31" s="47"/>
    </row>
    <row r="32" spans="1:9">
      <c r="A32" s="47"/>
    </row>
    <row r="33" spans="1:1">
      <c r="A33" s="47"/>
    </row>
    <row r="34" spans="1:1">
      <c r="A34" s="47"/>
    </row>
    <row r="35" spans="1:1">
      <c r="A35" s="47"/>
    </row>
  </sheetData>
  <sheetProtection algorithmName="SHA-512" hashValue="Biudj/pL3XFXttTWICAVA9qWFNRaXrzP0BTGSrghOkKH+RqKPIuQQC6GS0n8zWPRVIDrwTLyA46cfLLyTi32Ag==" saltValue="OPsvja89S632CLCMcNIRvg==" spinCount="100000" sheet="1" objects="1" scenarios="1"/>
  <mergeCells count="8">
    <mergeCell ref="B3:E3"/>
    <mergeCell ref="B4:E4"/>
    <mergeCell ref="B5:E5"/>
    <mergeCell ref="B6:E6"/>
    <mergeCell ref="C29:G29"/>
    <mergeCell ref="C27:G27"/>
    <mergeCell ref="D26:F26"/>
    <mergeCell ref="C25:G25"/>
  </mergeCells>
  <printOptions horizontalCentered="1"/>
  <pageMargins left="0.25" right="0.25" top="0.25" bottom="0.25" header="0.25" footer="0.25"/>
  <pageSetup scale="60"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82">
    <tabColor theme="7"/>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9.625" style="207" customWidth="1"/>
    <col min="4" max="4" width="28.875" style="207" customWidth="1"/>
    <col min="5" max="5" width="18.625" style="207" customWidth="1"/>
    <col min="6" max="6" width="18.625" style="39" customWidth="1"/>
    <col min="7" max="7" width="12.625" style="39" customWidth="1"/>
    <col min="8" max="8" width="9" style="39" customWidth="1"/>
    <col min="9"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0" t="s">
        <v>542</v>
      </c>
      <c r="C3" s="570"/>
      <c r="D3" s="570"/>
      <c r="E3" s="570"/>
      <c r="F3" s="570"/>
      <c r="G3" s="570"/>
    </row>
    <row r="4" spans="1:9" s="33" customFormat="1" ht="19.899999999999999" customHeight="1">
      <c r="A4" s="31"/>
      <c r="B4" s="570" t="s">
        <v>530</v>
      </c>
      <c r="C4" s="570"/>
      <c r="D4" s="570"/>
      <c r="E4" s="570"/>
      <c r="F4" s="570"/>
      <c r="G4" s="570"/>
    </row>
    <row r="5" spans="1:9" s="33" customFormat="1" ht="19.899999999999999" customHeight="1">
      <c r="A5" s="31"/>
      <c r="B5" s="571" t="s">
        <v>543</v>
      </c>
      <c r="C5" s="571"/>
      <c r="D5" s="571"/>
      <c r="E5" s="571"/>
      <c r="F5" s="571"/>
      <c r="G5" s="571"/>
      <c r="H5" s="85"/>
      <c r="I5" s="85"/>
    </row>
    <row r="6" spans="1:9" s="33" customFormat="1" ht="19.899999999999999" customHeight="1">
      <c r="A6" s="31"/>
      <c r="B6" s="572" t="s">
        <v>544</v>
      </c>
      <c r="C6" s="572"/>
      <c r="D6" s="572"/>
      <c r="E6" s="572"/>
      <c r="F6" s="570"/>
      <c r="G6" s="570"/>
    </row>
    <row r="7" spans="1:9" s="33" customFormat="1" ht="19.899999999999999" customHeight="1">
      <c r="A7" s="31"/>
      <c r="B7" s="204" t="s">
        <v>80</v>
      </c>
      <c r="C7" s="204" t="s">
        <v>80</v>
      </c>
      <c r="D7" s="204"/>
      <c r="E7" s="204"/>
      <c r="F7" s="32"/>
      <c r="G7" s="32"/>
    </row>
    <row r="8" spans="1:9" ht="12.95">
      <c r="A8" s="47"/>
      <c r="C8" s="208"/>
      <c r="D8" s="291" t="s">
        <v>451</v>
      </c>
      <c r="E8" s="208"/>
      <c r="F8" s="40"/>
      <c r="G8" s="40"/>
    </row>
    <row r="9" spans="1:9" ht="24.95" customHeight="1">
      <c r="A9" s="47"/>
      <c r="C9" s="146" t="s">
        <v>387</v>
      </c>
      <c r="D9" s="146" t="s">
        <v>388</v>
      </c>
      <c r="E9" s="208"/>
      <c r="F9" s="40"/>
      <c r="G9" s="167"/>
    </row>
    <row r="10" spans="1:9" ht="57.6" customHeight="1">
      <c r="A10" s="29">
        <v>1</v>
      </c>
      <c r="C10" s="44" t="s">
        <v>389</v>
      </c>
      <c r="D10" s="185">
        <f t="shared" ref="D10:D15" si="0">VLOOKUP(A10,PCH_PED_HAPLOID,9,FALSE)</f>
        <v>6652</v>
      </c>
      <c r="E10" s="202"/>
      <c r="F10" s="41"/>
      <c r="G10" s="41"/>
    </row>
    <row r="11" spans="1:9" ht="51" customHeight="1">
      <c r="A11" s="29">
        <v>2</v>
      </c>
      <c r="C11" s="212" t="s">
        <v>457</v>
      </c>
      <c r="D11" s="185">
        <f t="shared" si="0"/>
        <v>11744</v>
      </c>
      <c r="E11" s="211"/>
    </row>
    <row r="12" spans="1:9" ht="42" customHeight="1">
      <c r="A12" s="29">
        <v>3</v>
      </c>
      <c r="C12" s="219" t="s">
        <v>549</v>
      </c>
      <c r="D12" s="185">
        <f t="shared" si="0"/>
        <v>17682</v>
      </c>
      <c r="E12" s="211"/>
    </row>
    <row r="13" spans="1:9" ht="51" customHeight="1">
      <c r="A13" s="29">
        <v>4</v>
      </c>
      <c r="C13" s="212" t="s">
        <v>391</v>
      </c>
      <c r="D13" s="185">
        <f t="shared" si="0"/>
        <v>63963</v>
      </c>
      <c r="E13" s="211"/>
    </row>
    <row r="14" spans="1:9" ht="51" customHeight="1">
      <c r="A14" s="29">
        <v>5</v>
      </c>
      <c r="C14" s="212" t="s">
        <v>392</v>
      </c>
      <c r="D14" s="185">
        <f t="shared" si="0"/>
        <v>101033</v>
      </c>
      <c r="E14" s="211"/>
    </row>
    <row r="15" spans="1:9" ht="47.25" customHeight="1">
      <c r="A15" s="47">
        <v>6</v>
      </c>
      <c r="C15" s="212" t="s">
        <v>393</v>
      </c>
      <c r="D15" s="185">
        <f t="shared" si="0"/>
        <v>33411</v>
      </c>
      <c r="E15" s="211" t="s">
        <v>80</v>
      </c>
    </row>
    <row r="16" spans="1:9" ht="35.1" customHeight="1">
      <c r="A16" s="47"/>
      <c r="C16" s="213" t="s">
        <v>550</v>
      </c>
      <c r="D16" s="214">
        <f>SUM(D10:D15)</f>
        <v>234485</v>
      </c>
    </row>
    <row r="17" spans="1:9" ht="18" customHeight="1">
      <c r="A17" s="47"/>
      <c r="D17" s="337"/>
    </row>
    <row r="18" spans="1:9" ht="51.6" customHeight="1">
      <c r="A18" s="29">
        <v>7</v>
      </c>
      <c r="C18" s="216" t="s">
        <v>395</v>
      </c>
      <c r="D18" s="185">
        <f>VLOOKUP(A18,PCH_PED_HAPLOID,9,FALSE)</f>
        <v>2554</v>
      </c>
      <c r="E18" s="203"/>
      <c r="F18" s="30"/>
      <c r="G18" s="30"/>
    </row>
    <row r="19" spans="1:9" ht="56.45" customHeight="1">
      <c r="A19" s="29">
        <v>8</v>
      </c>
      <c r="C19" s="52" t="s">
        <v>396</v>
      </c>
      <c r="D19" s="225">
        <f>VLOOKUP(A19,PCH_PED_HAPLOID,9,FALSE)</f>
        <v>8014.1928120000002</v>
      </c>
      <c r="E19" s="45"/>
      <c r="F19" s="45"/>
      <c r="G19" s="45"/>
    </row>
    <row r="20" spans="1:9">
      <c r="A20" s="47"/>
      <c r="D20" s="293"/>
    </row>
    <row r="21" spans="1:9" ht="21.95" customHeight="1">
      <c r="A21" s="47"/>
      <c r="C21" s="218"/>
      <c r="D21" s="355" t="s">
        <v>409</v>
      </c>
    </row>
    <row r="22" spans="1:9" ht="92.45" customHeight="1">
      <c r="A22" s="29">
        <v>9</v>
      </c>
      <c r="C22" s="228" t="s">
        <v>551</v>
      </c>
      <c r="D22" s="185">
        <f>VLOOKUP(A22,PCH_PED_HAPLOID,9,FALSE)</f>
        <v>257547</v>
      </c>
      <c r="E22" s="203"/>
      <c r="F22" s="30"/>
      <c r="G22" s="30"/>
    </row>
    <row r="23" spans="1:9" ht="39.6" customHeight="1">
      <c r="A23" s="29">
        <v>10</v>
      </c>
      <c r="C23" s="230" t="s">
        <v>411</v>
      </c>
      <c r="D23" s="231" t="str">
        <f>VLOOKUP(A23,PCH_PED_HAPLOID,9,FALSE)</f>
        <v>CCR</v>
      </c>
      <c r="E23" s="203"/>
      <c r="F23" s="30"/>
      <c r="G23" s="30"/>
    </row>
    <row r="24" spans="1:9" ht="28.5" customHeight="1">
      <c r="A24" s="47"/>
    </row>
    <row r="25" spans="1:9" s="38" customFormat="1" ht="54.75" customHeight="1">
      <c r="A25" s="37"/>
      <c r="B25" s="205"/>
      <c r="C25" s="567" t="s">
        <v>455</v>
      </c>
      <c r="D25" s="568"/>
      <c r="E25" s="568"/>
      <c r="F25" s="568"/>
      <c r="G25" s="569"/>
    </row>
    <row r="26" spans="1:9">
      <c r="A26" s="47"/>
    </row>
    <row r="27" spans="1:9" ht="34.5" customHeight="1">
      <c r="A27" s="47"/>
      <c r="C27" s="567" t="s">
        <v>452</v>
      </c>
      <c r="D27" s="568"/>
      <c r="E27" s="568"/>
      <c r="F27" s="568"/>
      <c r="G27" s="569"/>
    </row>
    <row r="28" spans="1:9">
      <c r="A28" s="47"/>
    </row>
    <row r="29" spans="1:9" ht="36.75" customHeight="1">
      <c r="A29" s="47"/>
      <c r="C29" s="567" t="s">
        <v>398</v>
      </c>
      <c r="D29" s="568"/>
      <c r="E29" s="568"/>
      <c r="F29" s="568"/>
      <c r="G29" s="569"/>
      <c r="H29" s="48"/>
      <c r="I29" s="48"/>
    </row>
    <row r="30" spans="1:9">
      <c r="A30" s="47"/>
    </row>
    <row r="31" spans="1:9">
      <c r="A31" s="47"/>
    </row>
    <row r="32" spans="1:9">
      <c r="A32" s="47"/>
    </row>
    <row r="33" spans="1:1">
      <c r="A33" s="47"/>
    </row>
    <row r="34" spans="1:1">
      <c r="A34" s="47"/>
    </row>
    <row r="35" spans="1:1">
      <c r="A35" s="47"/>
    </row>
  </sheetData>
  <sheetProtection algorithmName="SHA-512" hashValue="YLtM5BGiBTiceW13WSymnHUCFO0+aUNxX/rAuugFqroFFvL5gprGrPsXw8C/gj7SEL9vNWdZWfts0fpazRJUWQ==" saltValue="1XEozTYZH5S+lLPJkIj8Nw==" spinCount="100000" sheet="1" objects="1" scenarios="1"/>
  <mergeCells count="7">
    <mergeCell ref="C29:G29"/>
    <mergeCell ref="C27:G27"/>
    <mergeCell ref="C25:G25"/>
    <mergeCell ref="B3:G3"/>
    <mergeCell ref="B4:G4"/>
    <mergeCell ref="B5:G5"/>
    <mergeCell ref="B6:G6"/>
  </mergeCells>
  <printOptions horizontalCentered="1"/>
  <pageMargins left="0.25" right="0.25" top="0.25" bottom="0.25" header="0.25" footer="0.25"/>
  <pageSetup scale="59"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83">
    <tabColor theme="7"/>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39" hidden="1" customWidth="1"/>
    <col min="2" max="2" width="6.625" style="207" customWidth="1"/>
    <col min="3" max="3" width="64" style="207" customWidth="1"/>
    <col min="4" max="4" width="31.375" style="207" customWidth="1"/>
    <col min="5" max="5" width="18.625" style="207" customWidth="1"/>
    <col min="6" max="6" width="18.625" style="39" customWidth="1"/>
    <col min="7" max="7" width="12.625" style="39" customWidth="1"/>
    <col min="8" max="8" width="9" style="39" customWidth="1"/>
    <col min="9"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0" t="s">
        <v>542</v>
      </c>
      <c r="C3" s="570"/>
      <c r="D3" s="570"/>
      <c r="E3" s="570"/>
      <c r="F3" s="570"/>
      <c r="G3" s="570"/>
    </row>
    <row r="4" spans="1:9" s="33" customFormat="1" ht="19.899999999999999" customHeight="1">
      <c r="A4" s="31"/>
      <c r="B4" s="570" t="s">
        <v>531</v>
      </c>
      <c r="C4" s="570"/>
      <c r="D4" s="570"/>
      <c r="E4" s="570"/>
      <c r="F4" s="570"/>
      <c r="G4" s="570"/>
    </row>
    <row r="5" spans="1:9" s="33" customFormat="1" ht="19.899999999999999" customHeight="1">
      <c r="A5" s="31"/>
      <c r="B5" s="571" t="s">
        <v>543</v>
      </c>
      <c r="C5" s="571"/>
      <c r="D5" s="571"/>
      <c r="E5" s="571"/>
      <c r="F5" s="571"/>
      <c r="G5" s="571"/>
      <c r="H5" s="85"/>
      <c r="I5" s="85"/>
    </row>
    <row r="6" spans="1:9" s="33" customFormat="1" ht="19.899999999999999" customHeight="1">
      <c r="A6" s="31"/>
      <c r="B6" s="572" t="s">
        <v>544</v>
      </c>
      <c r="C6" s="572"/>
      <c r="D6" s="572"/>
      <c r="E6" s="572"/>
      <c r="F6" s="570"/>
      <c r="G6" s="570"/>
    </row>
    <row r="7" spans="1:9" s="33" customFormat="1" ht="12.75" customHeight="1">
      <c r="A7" s="31"/>
      <c r="B7" s="204" t="s">
        <v>80</v>
      </c>
      <c r="C7" s="204" t="s">
        <v>80</v>
      </c>
      <c r="D7" s="204"/>
      <c r="E7" s="204"/>
      <c r="F7" s="32"/>
      <c r="G7" s="32"/>
    </row>
    <row r="8" spans="1:9" ht="18" customHeight="1">
      <c r="A8" s="47"/>
      <c r="C8" s="208"/>
      <c r="D8" s="291" t="s">
        <v>451</v>
      </c>
      <c r="E8" s="208"/>
      <c r="F8" s="40"/>
      <c r="G8" s="40"/>
    </row>
    <row r="9" spans="1:9" ht="33" customHeight="1">
      <c r="A9" s="47"/>
      <c r="C9" s="146" t="s">
        <v>387</v>
      </c>
      <c r="D9" s="146" t="s">
        <v>388</v>
      </c>
      <c r="E9" s="208"/>
      <c r="F9" s="40"/>
      <c r="G9" s="167"/>
    </row>
    <row r="10" spans="1:9" ht="50.1" customHeight="1">
      <c r="A10" s="29">
        <v>1</v>
      </c>
      <c r="C10" s="44" t="s">
        <v>389</v>
      </c>
      <c r="D10" s="158">
        <f t="shared" ref="D10:D15" si="0">VLOOKUP(A10,PCH_PED_BMT_ALLO_UNREL,9,FALSE)</f>
        <v>6797</v>
      </c>
      <c r="E10" s="202"/>
      <c r="F10" s="106"/>
      <c r="G10" s="41"/>
    </row>
    <row r="11" spans="1:9" ht="48.95" customHeight="1">
      <c r="A11" s="29">
        <v>2</v>
      </c>
      <c r="C11" s="220" t="s">
        <v>552</v>
      </c>
      <c r="D11" s="158">
        <f t="shared" si="0"/>
        <v>12000</v>
      </c>
      <c r="E11" s="211"/>
      <c r="F11" s="106"/>
    </row>
    <row r="12" spans="1:9" ht="39.950000000000003" customHeight="1">
      <c r="A12" s="29">
        <v>3</v>
      </c>
      <c r="C12" s="219" t="s">
        <v>553</v>
      </c>
      <c r="D12" s="158" t="str">
        <f t="shared" si="0"/>
        <v>NBMD or Cord blood Invoice Cost</v>
      </c>
      <c r="E12" s="211"/>
      <c r="F12" s="106"/>
    </row>
    <row r="13" spans="1:9" ht="39.950000000000003" customHeight="1">
      <c r="A13" s="29">
        <v>4</v>
      </c>
      <c r="C13" s="220" t="s">
        <v>391</v>
      </c>
      <c r="D13" s="158">
        <f t="shared" si="0"/>
        <v>65369</v>
      </c>
      <c r="E13" s="211"/>
      <c r="F13" s="106"/>
    </row>
    <row r="14" spans="1:9" ht="39.950000000000003" customHeight="1">
      <c r="A14" s="29">
        <v>5</v>
      </c>
      <c r="C14" s="212" t="s">
        <v>392</v>
      </c>
      <c r="D14" s="158">
        <f t="shared" si="0"/>
        <v>103256</v>
      </c>
      <c r="E14" s="211"/>
      <c r="F14" s="106"/>
    </row>
    <row r="15" spans="1:9" ht="39.950000000000003" customHeight="1">
      <c r="A15" s="29">
        <v>6</v>
      </c>
      <c r="C15" s="212" t="s">
        <v>393</v>
      </c>
      <c r="D15" s="158">
        <f t="shared" si="0"/>
        <v>34146</v>
      </c>
      <c r="E15" s="211" t="s">
        <v>80</v>
      </c>
      <c r="F15" s="106"/>
    </row>
    <row r="16" spans="1:9" ht="39.950000000000003" customHeight="1">
      <c r="A16" s="47"/>
      <c r="C16" s="213" t="s">
        <v>554</v>
      </c>
      <c r="D16" s="214">
        <f>SUM(D10:D15)</f>
        <v>221568</v>
      </c>
      <c r="F16" s="106"/>
    </row>
    <row r="17" spans="1:9">
      <c r="A17" s="47"/>
      <c r="D17" s="224"/>
    </row>
    <row r="18" spans="1:9" ht="50.1" customHeight="1">
      <c r="A18" s="29">
        <v>7</v>
      </c>
      <c r="C18" s="216" t="s">
        <v>395</v>
      </c>
      <c r="D18" s="158">
        <f>VLOOKUP(A18,PCH_PED_BMT_ALLO_UNREL,9,FALSE)</f>
        <v>2554</v>
      </c>
      <c r="E18" s="203"/>
      <c r="F18" s="30"/>
      <c r="G18" s="30"/>
    </row>
    <row r="19" spans="1:9" ht="53.45" customHeight="1">
      <c r="A19" s="29">
        <v>8</v>
      </c>
      <c r="C19" s="52" t="s">
        <v>396</v>
      </c>
      <c r="D19" s="225">
        <f>VLOOKUP(A19,PCH_PED_BMT_ALLO_UNREL,9,FALSE)</f>
        <v>8014.1928120000002</v>
      </c>
      <c r="E19" s="45"/>
      <c r="F19" s="45"/>
      <c r="G19" s="45"/>
    </row>
    <row r="20" spans="1:9" ht="18.600000000000001" customHeight="1">
      <c r="A20" s="47"/>
      <c r="D20" s="293"/>
    </row>
    <row r="21" spans="1:9" ht="27.95" customHeight="1">
      <c r="A21" s="47"/>
      <c r="C21" s="218"/>
      <c r="D21" s="355" t="s">
        <v>409</v>
      </c>
    </row>
    <row r="22" spans="1:9" ht="72" customHeight="1">
      <c r="A22" s="29">
        <v>9</v>
      </c>
      <c r="C22" s="228" t="s">
        <v>532</v>
      </c>
      <c r="D22" s="158">
        <f>VLOOKUP(A22,PCH_PED_BMT_ALLO_UNREL,9,FALSE)</f>
        <v>282076</v>
      </c>
      <c r="E22" s="203"/>
      <c r="F22" s="30"/>
    </row>
    <row r="23" spans="1:9" ht="39.950000000000003" customHeight="1">
      <c r="A23" s="29">
        <v>10</v>
      </c>
      <c r="C23" s="230" t="s">
        <v>411</v>
      </c>
      <c r="D23" s="351">
        <f>VLOOKUP(A23,PCH_PED_BMT_ALLO_UNREL,9,FALSE)</f>
        <v>0.5</v>
      </c>
    </row>
    <row r="24" spans="1:9" ht="26.1" customHeight="1">
      <c r="A24" s="47"/>
    </row>
    <row r="25" spans="1:9" s="38" customFormat="1" ht="58.5" customHeight="1">
      <c r="A25" s="37"/>
      <c r="B25" s="205"/>
      <c r="C25" s="567" t="s">
        <v>417</v>
      </c>
      <c r="D25" s="568"/>
      <c r="E25" s="568"/>
      <c r="F25" s="568"/>
      <c r="G25" s="569"/>
    </row>
    <row r="26" spans="1:9">
      <c r="A26" s="47"/>
    </row>
    <row r="27" spans="1:9" ht="24" customHeight="1">
      <c r="A27" s="47"/>
      <c r="C27" s="567" t="s">
        <v>452</v>
      </c>
      <c r="D27" s="568"/>
      <c r="E27" s="568"/>
      <c r="F27" s="568"/>
      <c r="G27" s="569"/>
    </row>
    <row r="28" spans="1:9">
      <c r="A28" s="47"/>
    </row>
    <row r="29" spans="1:9" ht="36.75" customHeight="1">
      <c r="A29" s="47"/>
      <c r="C29" s="567" t="s">
        <v>398</v>
      </c>
      <c r="D29" s="568"/>
      <c r="E29" s="568"/>
      <c r="F29" s="568"/>
      <c r="G29" s="569"/>
      <c r="H29" s="48"/>
      <c r="I29" s="48"/>
    </row>
    <row r="30" spans="1:9">
      <c r="A30" s="47"/>
    </row>
    <row r="31" spans="1:9">
      <c r="A31" s="47"/>
    </row>
    <row r="32" spans="1:9">
      <c r="A32" s="47"/>
    </row>
    <row r="33" spans="1:1">
      <c r="A33" s="47"/>
    </row>
    <row r="34" spans="1:1">
      <c r="A34" s="47"/>
    </row>
    <row r="35" spans="1:1">
      <c r="A35" s="47"/>
    </row>
  </sheetData>
  <sheetProtection algorithmName="SHA-512" hashValue="VVmTC290xW6fq81eozgtd4+fzgxruTDLW6ZgvYd7nZiiPuXrsviTH+1ydrNkNhkpJzv/KJV2oewEo2NibFMP2g==" saltValue="YV43un+8w+8nrSRcSwUEyw==" spinCount="100000" sheet="1" objects="1" scenarios="1"/>
  <mergeCells count="7">
    <mergeCell ref="C29:G29"/>
    <mergeCell ref="C27:G27"/>
    <mergeCell ref="C25:G25"/>
    <mergeCell ref="B3:G3"/>
    <mergeCell ref="B4:G4"/>
    <mergeCell ref="B5:G5"/>
    <mergeCell ref="B6:G6"/>
  </mergeCells>
  <printOptions horizontalCentered="1"/>
  <pageMargins left="0.25" right="0.25" top="0.25" bottom="0.25" header="0.25" footer="0.25"/>
  <pageSetup scale="62"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82E0-0043-475B-A6C1-211A818754DD}">
  <sheetPr codeName="Sheet9">
    <tabColor rgb="FF7030A0"/>
    <pageSetUpPr fitToPage="1"/>
  </sheetPr>
  <dimension ref="A1:I35"/>
  <sheetViews>
    <sheetView showGridLines="0" topLeftCell="B2" zoomScale="90" zoomScaleNormal="90" zoomScaleSheetLayoutView="70" workbookViewId="0">
      <selection activeCell="B6" sqref="B6:E6"/>
    </sheetView>
  </sheetViews>
  <sheetFormatPr defaultColWidth="9" defaultRowHeight="12.6"/>
  <cols>
    <col min="1" max="1" width="30.625" style="30" hidden="1" customWidth="1"/>
    <col min="2" max="2" width="6.625" style="203" customWidth="1"/>
    <col min="3" max="3" width="50" style="203" customWidth="1"/>
    <col min="4" max="4" width="27.875" style="203" customWidth="1"/>
    <col min="5" max="5" width="38.125" style="203" customWidth="1"/>
    <col min="6" max="6" width="4.375" style="30" customWidth="1"/>
    <col min="7" max="7" width="12.125" style="30" bestFit="1" customWidth="1"/>
    <col min="8" max="16384" width="9" style="30"/>
  </cols>
  <sheetData>
    <row r="1" spans="1:7" s="493" customFormat="1" ht="20.100000000000001" hidden="1" customHeight="1">
      <c r="A1" s="481" t="e" cm="1">
        <f t="array" aca="1" ref="A1" ca="1">MID(CELL("filename",A1),FIND("]",CELL("filename",A1))+1,255)</f>
        <v>#VALUE!</v>
      </c>
      <c r="B1" s="492"/>
      <c r="C1" s="29">
        <v>3</v>
      </c>
      <c r="D1" s="29">
        <v>4</v>
      </c>
    </row>
    <row r="2" spans="1:7">
      <c r="A2" s="28"/>
    </row>
    <row r="3" spans="1:7" s="33" customFormat="1" ht="19.899999999999999" customHeight="1">
      <c r="A3" s="31"/>
      <c r="B3" s="571" t="s">
        <v>542</v>
      </c>
      <c r="C3" s="571"/>
      <c r="D3" s="571"/>
      <c r="E3" s="571"/>
    </row>
    <row r="4" spans="1:7" s="33" customFormat="1" ht="19.899999999999999" customHeight="1">
      <c r="A4" s="31"/>
      <c r="B4" s="571" t="s">
        <v>383</v>
      </c>
      <c r="C4" s="571"/>
      <c r="D4" s="571"/>
      <c r="E4" s="571"/>
    </row>
    <row r="5" spans="1:7" s="33" customFormat="1" ht="19.899999999999999" customHeight="1">
      <c r="A5" s="31"/>
      <c r="B5" s="204"/>
      <c r="C5" s="204"/>
      <c r="D5" s="105" t="s">
        <v>555</v>
      </c>
      <c r="E5" s="204"/>
    </row>
    <row r="6" spans="1:7" s="33" customFormat="1" ht="19.899999999999999" customHeight="1">
      <c r="A6" s="31"/>
      <c r="B6" s="571" t="s">
        <v>473</v>
      </c>
      <c r="C6" s="571"/>
      <c r="D6" s="571"/>
      <c r="E6" s="571"/>
    </row>
    <row r="7" spans="1:7" s="33" customFormat="1" ht="19.899999999999999" customHeight="1">
      <c r="A7" s="31"/>
      <c r="B7" s="571" t="s">
        <v>544</v>
      </c>
      <c r="C7" s="571"/>
      <c r="D7" s="571"/>
      <c r="E7" s="571"/>
    </row>
    <row r="8" spans="1:7" s="38" customFormat="1" ht="14.1">
      <c r="A8" s="37"/>
      <c r="B8" s="205"/>
      <c r="C8" s="206"/>
      <c r="D8" s="205"/>
      <c r="E8" s="205"/>
    </row>
    <row r="9" spans="1:7" ht="18.600000000000001">
      <c r="A9" s="28"/>
      <c r="B9" s="207"/>
      <c r="C9" s="208"/>
      <c r="D9" s="202" t="s">
        <v>386</v>
      </c>
      <c r="E9" s="202"/>
      <c r="G9" s="167"/>
    </row>
    <row r="10" spans="1:7" ht="40.15" customHeight="1">
      <c r="A10" s="28"/>
      <c r="B10" s="207"/>
      <c r="C10" s="146" t="s">
        <v>387</v>
      </c>
      <c r="D10" s="146" t="s">
        <v>388</v>
      </c>
      <c r="E10" s="202"/>
    </row>
    <row r="11" spans="1:7" ht="57.75" customHeight="1">
      <c r="A11" s="29">
        <v>1</v>
      </c>
      <c r="B11" s="207"/>
      <c r="C11" s="209" t="s">
        <v>389</v>
      </c>
      <c r="D11" s="160">
        <f>VLOOKUP(A11,PCH_BMT_AUT_ADULT,9,FALSE)</f>
        <v>6509</v>
      </c>
      <c r="E11" s="202"/>
      <c r="G11" s="42"/>
    </row>
    <row r="12" spans="1:7" ht="35.1" customHeight="1">
      <c r="A12" s="29">
        <v>2</v>
      </c>
      <c r="B12" s="207"/>
      <c r="C12" s="210" t="s">
        <v>390</v>
      </c>
      <c r="D12" s="160">
        <f>VLOOKUP(A12,PCH_BMT_AUT_ADULT,9,FALSE)</f>
        <v>17147</v>
      </c>
      <c r="E12" s="211"/>
      <c r="G12" s="42"/>
    </row>
    <row r="13" spans="1:7" ht="35.1" customHeight="1">
      <c r="A13" s="29">
        <v>3</v>
      </c>
      <c r="B13" s="207"/>
      <c r="C13" s="210" t="s">
        <v>391</v>
      </c>
      <c r="D13" s="160">
        <f>VLOOKUP(A13,PCH_BMT_AUT_ADULT,9,FALSE)</f>
        <v>63845</v>
      </c>
      <c r="E13" s="211"/>
      <c r="G13" s="42"/>
    </row>
    <row r="14" spans="1:7" ht="35.1" customHeight="1">
      <c r="A14" s="29">
        <v>4</v>
      </c>
      <c r="B14" s="207"/>
      <c r="C14" s="212" t="s">
        <v>392</v>
      </c>
      <c r="D14" s="160">
        <f>VLOOKUP(A14,PCH_BMT_AUT_ADULT,9,FALSE)</f>
        <v>86558</v>
      </c>
      <c r="E14" s="211"/>
      <c r="G14" s="42"/>
    </row>
    <row r="15" spans="1:7" ht="35.1" customHeight="1">
      <c r="A15" s="29">
        <v>5</v>
      </c>
      <c r="B15" s="207"/>
      <c r="C15" s="212" t="s">
        <v>393</v>
      </c>
      <c r="D15" s="160">
        <f>VLOOKUP(A15,PCH_BMT_AUT_ADULT,9,FALSE)</f>
        <v>12295</v>
      </c>
      <c r="E15" s="211" t="s">
        <v>80</v>
      </c>
      <c r="G15" s="42"/>
    </row>
    <row r="16" spans="1:7" ht="40.5" customHeight="1">
      <c r="A16" s="28"/>
      <c r="B16" s="207"/>
      <c r="C16" s="213" t="s">
        <v>394</v>
      </c>
      <c r="D16" s="354">
        <f>SUM(D11:D15)</f>
        <v>186354</v>
      </c>
      <c r="E16" s="207"/>
      <c r="G16" s="42"/>
    </row>
    <row r="17" spans="1:9">
      <c r="A17" s="47"/>
      <c r="B17" s="207"/>
      <c r="C17" s="207"/>
      <c r="D17" s="215"/>
      <c r="E17" s="207"/>
    </row>
    <row r="18" spans="1:9" ht="54.95" customHeight="1">
      <c r="A18" s="29">
        <v>6</v>
      </c>
      <c r="B18" s="207"/>
      <c r="C18" s="216" t="s">
        <v>395</v>
      </c>
      <c r="D18" s="160">
        <f>VLOOKUP(A18,PCH_BMT_AUT_ADULT,9,FALSE)</f>
        <v>2554</v>
      </c>
    </row>
    <row r="19" spans="1:9" ht="56.45" customHeight="1">
      <c r="A19" s="29">
        <v>7</v>
      </c>
      <c r="B19" s="207"/>
      <c r="C19" s="52" t="s">
        <v>396</v>
      </c>
      <c r="D19" s="225">
        <f>VLOOKUP(A19,PCH_BMT_AUT_ADULT,9,FALSE)</f>
        <v>8014.1928120000002</v>
      </c>
      <c r="E19" s="45"/>
    </row>
    <row r="20" spans="1:9" ht="41.1" customHeight="1">
      <c r="A20" s="28"/>
      <c r="B20" s="207"/>
      <c r="C20" s="218"/>
      <c r="D20" s="207"/>
      <c r="E20" s="207"/>
    </row>
    <row r="21" spans="1:9" ht="51" customHeight="1">
      <c r="A21" s="28"/>
      <c r="B21" s="207"/>
      <c r="C21" s="581" t="s">
        <v>397</v>
      </c>
      <c r="D21" s="582"/>
      <c r="E21" s="583"/>
    </row>
    <row r="22" spans="1:9" ht="18" customHeight="1">
      <c r="A22" s="28"/>
      <c r="B22" s="207"/>
      <c r="C22" s="207"/>
      <c r="D22" s="207"/>
      <c r="E22" s="207"/>
    </row>
    <row r="23" spans="1:9" s="39" customFormat="1" ht="27" customHeight="1">
      <c r="A23" s="47"/>
      <c r="B23" s="207"/>
      <c r="C23" s="567" t="s">
        <v>398</v>
      </c>
      <c r="D23" s="568"/>
      <c r="E23" s="568"/>
      <c r="F23" s="568"/>
      <c r="G23" s="569"/>
      <c r="H23" s="48"/>
      <c r="I23" s="48"/>
    </row>
    <row r="24" spans="1:9">
      <c r="A24" s="28"/>
      <c r="B24" s="207"/>
      <c r="C24" s="207"/>
      <c r="D24" s="207"/>
      <c r="E24" s="207"/>
    </row>
    <row r="25" spans="1:9">
      <c r="A25" s="28"/>
      <c r="B25" s="207"/>
      <c r="C25" s="207"/>
      <c r="D25" s="207"/>
      <c r="E25" s="207"/>
    </row>
    <row r="26" spans="1:9">
      <c r="A26" s="28"/>
    </row>
    <row r="27" spans="1:9">
      <c r="A27" s="28"/>
      <c r="C27" s="203" t="s">
        <v>399</v>
      </c>
    </row>
    <row r="28" spans="1:9">
      <c r="A28" s="28"/>
    </row>
    <row r="29" spans="1:9">
      <c r="A29" s="28"/>
    </row>
    <row r="30" spans="1:9">
      <c r="A30" s="28"/>
    </row>
    <row r="31" spans="1:9">
      <c r="A31" s="28"/>
    </row>
    <row r="32" spans="1:9">
      <c r="A32" s="28"/>
    </row>
    <row r="33" spans="1:1">
      <c r="A33" s="28"/>
    </row>
    <row r="34" spans="1:1">
      <c r="A34" s="28"/>
    </row>
    <row r="35" spans="1:1">
      <c r="A35" s="28"/>
    </row>
  </sheetData>
  <sheetProtection algorithmName="SHA-512" hashValue="2dGXDoMCYf+Jt9lqBUBKOVRNd40fDohanKAdBk3vQrXUaB/TlVpA+tugEgXNM1Tu2xzPAM2J7bGX31NqygBKNg==" saltValue="bR70d9A4zPvaArQtTlF8Zg==" spinCount="100000" sheet="1" objects="1" scenarios="1"/>
  <mergeCells count="6">
    <mergeCell ref="C23:G23"/>
    <mergeCell ref="B3:E3"/>
    <mergeCell ref="B4:E4"/>
    <mergeCell ref="B6:E6"/>
    <mergeCell ref="B7:E7"/>
    <mergeCell ref="C21:E21"/>
  </mergeCells>
  <printOptions horizontalCentered="1"/>
  <pageMargins left="0.25" right="0.25" top="0.25" bottom="0.25" header="0.25" footer="0.25"/>
  <pageSetup scale="73"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9624-E6B1-49E3-8B51-F1EB8F8F533D}">
  <sheetPr codeName="Sheet10">
    <tabColor rgb="FF7030A0"/>
    <pageSetUpPr fitToPage="1"/>
  </sheetPr>
  <dimension ref="A1:J35"/>
  <sheetViews>
    <sheetView showGridLines="0" topLeftCell="B2" zoomScale="90" zoomScaleNormal="90" zoomScaleSheetLayoutView="70" workbookViewId="0"/>
  </sheetViews>
  <sheetFormatPr defaultColWidth="9" defaultRowHeight="12.6"/>
  <cols>
    <col min="1" max="1" width="30.625" style="39" hidden="1" customWidth="1"/>
    <col min="2" max="2" width="6.625" style="207" customWidth="1"/>
    <col min="3" max="3" width="72" style="207" customWidth="1"/>
    <col min="4" max="4" width="22.125" style="207" customWidth="1"/>
    <col min="5" max="5" width="30.75" style="207" customWidth="1"/>
    <col min="6" max="6" width="9.125" style="39" customWidth="1"/>
    <col min="7" max="7" width="12.625" style="39" customWidth="1"/>
    <col min="8" max="8" width="9" style="39" customWidth="1"/>
    <col min="9" max="16384" width="9" style="39"/>
  </cols>
  <sheetData>
    <row r="1" spans="1:8" s="483" customFormat="1" ht="20.100000000000001" hidden="1" customHeight="1">
      <c r="A1" s="481" t="e" cm="1">
        <f t="array" aca="1" ref="A1" ca="1">MID(CELL("filename",A1),FIND("]",CELL("filename",A1))+1,255)</f>
        <v>#VALUE!</v>
      </c>
      <c r="B1" s="482"/>
      <c r="C1" s="29">
        <v>3</v>
      </c>
      <c r="D1" s="29">
        <v>4</v>
      </c>
    </row>
    <row r="2" spans="1:8">
      <c r="A2" s="47"/>
    </row>
    <row r="3" spans="1:8" s="33" customFormat="1" ht="19.899999999999999" customHeight="1">
      <c r="A3" s="31"/>
      <c r="B3" s="571" t="s">
        <v>542</v>
      </c>
      <c r="C3" s="571"/>
      <c r="D3" s="571"/>
      <c r="E3" s="571"/>
      <c r="F3" s="83"/>
      <c r="G3" s="83"/>
    </row>
    <row r="4" spans="1:8" s="33" customFormat="1" ht="19.899999999999999" customHeight="1">
      <c r="A4" s="31"/>
      <c r="B4" s="571" t="s">
        <v>400</v>
      </c>
      <c r="C4" s="571"/>
      <c r="D4" s="571"/>
      <c r="E4" s="571"/>
      <c r="F4" s="83"/>
      <c r="G4" s="83"/>
      <c r="H4" s="83"/>
    </row>
    <row r="5" spans="1:8" s="33" customFormat="1" ht="19.899999999999999" customHeight="1">
      <c r="A5" s="31"/>
      <c r="B5" s="571" t="s">
        <v>555</v>
      </c>
      <c r="C5" s="571"/>
      <c r="D5" s="571"/>
      <c r="E5" s="571"/>
      <c r="F5" s="104"/>
      <c r="G5" s="83"/>
      <c r="H5" s="83"/>
    </row>
    <row r="6" spans="1:8" s="33" customFormat="1" ht="19.899999999999999" customHeight="1">
      <c r="A6" s="31"/>
      <c r="B6" s="571" t="s">
        <v>473</v>
      </c>
      <c r="C6" s="571"/>
      <c r="D6" s="571"/>
      <c r="E6" s="571"/>
      <c r="F6" s="85"/>
      <c r="G6" s="85"/>
    </row>
    <row r="7" spans="1:8" s="33" customFormat="1" ht="19.899999999999999" customHeight="1">
      <c r="A7" s="31"/>
      <c r="B7" s="571" t="s">
        <v>544</v>
      </c>
      <c r="C7" s="571"/>
      <c r="D7" s="571"/>
      <c r="E7" s="571"/>
      <c r="F7" s="83"/>
      <c r="G7" s="83"/>
    </row>
    <row r="8" spans="1:8" s="33" customFormat="1" ht="12.75" customHeight="1">
      <c r="A8" s="31"/>
      <c r="B8" s="204"/>
      <c r="C8" s="204"/>
      <c r="D8" s="204"/>
      <c r="E8" s="204"/>
      <c r="F8" s="32"/>
      <c r="G8" s="32"/>
    </row>
    <row r="9" spans="1:8" ht="15.75" customHeight="1">
      <c r="A9" s="47"/>
      <c r="D9" s="202" t="s">
        <v>386</v>
      </c>
      <c r="E9" s="208"/>
      <c r="G9" s="167"/>
    </row>
    <row r="10" spans="1:8" ht="35.1" customHeight="1">
      <c r="A10" s="47"/>
      <c r="C10" s="146" t="s">
        <v>387</v>
      </c>
      <c r="D10" s="146" t="s">
        <v>388</v>
      </c>
      <c r="E10" s="202"/>
      <c r="F10" s="41"/>
      <c r="G10" s="41"/>
    </row>
    <row r="11" spans="1:8" ht="57.75" customHeight="1">
      <c r="A11" s="29">
        <v>1</v>
      </c>
      <c r="C11" s="209" t="s">
        <v>389</v>
      </c>
      <c r="D11" s="160">
        <f t="shared" ref="D11:D16" si="0">VLOOKUP(A11,PCH_BMT_ADULT_ALLO_REL,9,FALSE)</f>
        <v>6554</v>
      </c>
      <c r="E11" s="202"/>
      <c r="F11" s="41"/>
      <c r="G11" s="41"/>
    </row>
    <row r="12" spans="1:8" ht="35.1" customHeight="1">
      <c r="A12" s="29">
        <v>2</v>
      </c>
      <c r="C12" s="219" t="s">
        <v>401</v>
      </c>
      <c r="D12" s="160">
        <f t="shared" si="0"/>
        <v>5359</v>
      </c>
      <c r="E12" s="211"/>
    </row>
    <row r="13" spans="1:8" ht="35.1" customHeight="1">
      <c r="A13" s="29">
        <v>3</v>
      </c>
      <c r="C13" s="219" t="s">
        <v>402</v>
      </c>
      <c r="D13" s="160">
        <f t="shared" si="0"/>
        <v>17682</v>
      </c>
      <c r="E13" s="211"/>
    </row>
    <row r="14" spans="1:8" ht="35.1" customHeight="1">
      <c r="A14" s="29">
        <v>4</v>
      </c>
      <c r="C14" s="220" t="s">
        <v>391</v>
      </c>
      <c r="D14" s="160">
        <f t="shared" si="0"/>
        <v>154611</v>
      </c>
      <c r="E14" s="211"/>
    </row>
    <row r="15" spans="1:8" ht="35.1" customHeight="1">
      <c r="A15" s="29">
        <v>5</v>
      </c>
      <c r="C15" s="212" t="s">
        <v>392</v>
      </c>
      <c r="D15" s="160">
        <f t="shared" si="0"/>
        <v>209614</v>
      </c>
      <c r="E15" s="211" t="s">
        <v>80</v>
      </c>
    </row>
    <row r="16" spans="1:8" ht="35.1" customHeight="1">
      <c r="A16" s="29">
        <v>6</v>
      </c>
      <c r="C16" s="212" t="s">
        <v>393</v>
      </c>
      <c r="D16" s="160">
        <f t="shared" si="0"/>
        <v>29788</v>
      </c>
      <c r="E16" s="211"/>
    </row>
    <row r="17" spans="1:10" ht="35.1" customHeight="1">
      <c r="A17" s="47"/>
      <c r="C17" s="221" t="s">
        <v>403</v>
      </c>
      <c r="D17" s="238">
        <f>SUM(D11:D16)</f>
        <v>423608</v>
      </c>
    </row>
    <row r="18" spans="1:10">
      <c r="A18" s="47"/>
      <c r="D18" s="211"/>
    </row>
    <row r="19" spans="1:10" s="30" customFormat="1" ht="54.95" customHeight="1">
      <c r="A19" s="29">
        <v>7</v>
      </c>
      <c r="B19" s="207"/>
      <c r="C19" s="216" t="s">
        <v>395</v>
      </c>
      <c r="D19" s="160">
        <f>VLOOKUP(A19,PCH_BMT_ADULT_ALLO_REL,9,FALSE)</f>
        <v>2554</v>
      </c>
      <c r="E19" s="203"/>
    </row>
    <row r="20" spans="1:10" s="30" customFormat="1" ht="56.45" customHeight="1">
      <c r="A20" s="29">
        <v>8</v>
      </c>
      <c r="B20" s="207"/>
      <c r="C20" s="52" t="s">
        <v>396</v>
      </c>
      <c r="D20" s="225">
        <f>VLOOKUP(A20,PCH_BMT_ADULT_ALLO_REL,9,FALSE)</f>
        <v>8014.1928120000002</v>
      </c>
      <c r="E20" s="45"/>
    </row>
    <row r="21" spans="1:10" ht="15.6" customHeight="1">
      <c r="A21" s="47"/>
      <c r="D21" s="341"/>
      <c r="E21" s="45"/>
      <c r="F21" s="45"/>
      <c r="G21" s="45"/>
    </row>
    <row r="22" spans="1:10" ht="24.75" customHeight="1">
      <c r="A22" s="47"/>
      <c r="D22" s="350" t="s">
        <v>556</v>
      </c>
      <c r="E22" s="45"/>
      <c r="F22" s="30"/>
      <c r="G22" s="30"/>
      <c r="H22" s="30"/>
      <c r="I22" s="30"/>
      <c r="J22" s="30"/>
    </row>
    <row r="23" spans="1:10" ht="68.099999999999994" customHeight="1">
      <c r="A23" s="29">
        <v>9</v>
      </c>
      <c r="C23" s="228" t="s">
        <v>548</v>
      </c>
      <c r="D23" s="234">
        <f>VLOOKUP(A23,PCH_BMT_ADULT_ALLO_REL,9,FALSE)</f>
        <v>1533025</v>
      </c>
      <c r="F23" s="30"/>
      <c r="G23" s="30"/>
      <c r="H23" s="30"/>
      <c r="I23" s="30"/>
      <c r="J23" s="30"/>
    </row>
    <row r="24" spans="1:10" ht="44.45" customHeight="1">
      <c r="A24" s="29">
        <v>10</v>
      </c>
      <c r="C24" s="230" t="s">
        <v>411</v>
      </c>
      <c r="D24" s="351">
        <f>VLOOKUP(A24,PCH_BMT_ADULT_ALLO_REL,9,FALSE)</f>
        <v>0.5</v>
      </c>
      <c r="F24" s="30"/>
      <c r="G24" s="30"/>
      <c r="H24" s="30"/>
      <c r="I24" s="30"/>
      <c r="J24" s="30"/>
    </row>
    <row r="25" spans="1:10" ht="17.25" customHeight="1">
      <c r="A25" s="47"/>
      <c r="D25" s="341"/>
      <c r="E25" s="45"/>
      <c r="F25" s="45"/>
      <c r="G25" s="45"/>
    </row>
    <row r="26" spans="1:10" s="38" customFormat="1" ht="82.5" customHeight="1">
      <c r="A26" s="37"/>
      <c r="B26" s="205"/>
      <c r="C26" s="598" t="s">
        <v>455</v>
      </c>
      <c r="D26" s="599"/>
      <c r="E26" s="599"/>
      <c r="F26" s="599"/>
      <c r="G26" s="600"/>
    </row>
    <row r="27" spans="1:10" ht="17.100000000000001" customHeight="1">
      <c r="A27" s="47"/>
      <c r="D27" s="293"/>
    </row>
    <row r="28" spans="1:10" ht="36.75" customHeight="1">
      <c r="A28" s="47"/>
      <c r="C28" s="567" t="s">
        <v>398</v>
      </c>
      <c r="D28" s="568"/>
      <c r="E28" s="568"/>
      <c r="F28" s="568"/>
      <c r="G28" s="569"/>
      <c r="H28" s="48"/>
      <c r="I28" s="48"/>
    </row>
    <row r="29" spans="1:10" s="48" customFormat="1">
      <c r="A29" s="62"/>
      <c r="B29" s="207"/>
      <c r="C29" s="207"/>
      <c r="D29" s="293"/>
      <c r="E29" s="207"/>
      <c r="F29" s="39"/>
      <c r="G29" s="39"/>
    </row>
    <row r="30" spans="1:10">
      <c r="A30" s="47"/>
    </row>
    <row r="31" spans="1:10">
      <c r="A31" s="47"/>
    </row>
    <row r="32" spans="1:10">
      <c r="A32" s="47"/>
    </row>
    <row r="33" spans="1:5">
      <c r="A33" s="47"/>
    </row>
    <row r="34" spans="1:5" ht="12.75" customHeight="1">
      <c r="A34" s="47"/>
      <c r="C34" s="352" t="s">
        <v>80</v>
      </c>
    </row>
    <row r="35" spans="1:5" ht="12.75" customHeight="1">
      <c r="A35" s="47"/>
      <c r="C35" s="218" t="s">
        <v>80</v>
      </c>
      <c r="D35" s="353"/>
      <c r="E35" s="353"/>
    </row>
  </sheetData>
  <sheetProtection algorithmName="SHA-512" hashValue="tosy4kw6C8ZBYPH/OMDjboY3vPwWXDLgCxiYvq7IYqt2t0rxDfVQuPGK/NFWuye8q5EEM38Hvl/2kKAPQqb1sg==" saltValue="KlhGFFYVBDBrbLmQMu5s+g==" spinCount="100000" sheet="1" objects="1" scenarios="1"/>
  <mergeCells count="7">
    <mergeCell ref="C28:G28"/>
    <mergeCell ref="B3:E3"/>
    <mergeCell ref="B4:E4"/>
    <mergeCell ref="B5:E5"/>
    <mergeCell ref="B6:E6"/>
    <mergeCell ref="B7:E7"/>
    <mergeCell ref="C26:G26"/>
  </mergeCells>
  <printOptions horizontalCentered="1"/>
  <pageMargins left="0.25" right="0.25" top="0.25" bottom="0.25" header="0.25" footer="0.25"/>
  <pageSetup scale="63"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B792-AF9C-4EED-A3EC-822BA224C40C}">
  <sheetPr codeName="Sheet11">
    <tabColor rgb="FF7030A0"/>
    <pageSetUpPr fitToPage="1"/>
  </sheetPr>
  <dimension ref="A1:I35"/>
  <sheetViews>
    <sheetView showGridLines="0" topLeftCell="B2" zoomScale="90" zoomScaleNormal="90" zoomScaleSheetLayoutView="70" workbookViewId="0">
      <selection activeCell="B6" sqref="B6:F6"/>
    </sheetView>
  </sheetViews>
  <sheetFormatPr defaultColWidth="9" defaultRowHeight="12.6"/>
  <cols>
    <col min="1" max="1" width="30.625" style="39" hidden="1" customWidth="1"/>
    <col min="2" max="2" width="6.625" style="207" customWidth="1"/>
    <col min="3" max="3" width="66.125" style="207" customWidth="1"/>
    <col min="4" max="4" width="28.375" style="207" customWidth="1"/>
    <col min="5" max="5" width="18.6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ht="12.95" customHeight="1">
      <c r="A2" s="47"/>
    </row>
    <row r="3" spans="1:7" s="33" customFormat="1" ht="19.899999999999999" customHeight="1">
      <c r="A3" s="31"/>
      <c r="B3" s="570" t="s">
        <v>542</v>
      </c>
      <c r="C3" s="570"/>
      <c r="D3" s="570"/>
      <c r="E3" s="570"/>
      <c r="F3" s="570"/>
      <c r="G3" s="83"/>
    </row>
    <row r="4" spans="1:7" s="33" customFormat="1" ht="19.899999999999999" customHeight="1">
      <c r="A4" s="31"/>
      <c r="B4" s="570" t="s">
        <v>405</v>
      </c>
      <c r="C4" s="570"/>
      <c r="D4" s="570"/>
      <c r="E4" s="570"/>
      <c r="F4" s="570"/>
      <c r="G4" s="83"/>
    </row>
    <row r="5" spans="1:7" s="33" customFormat="1" ht="19.899999999999999" customHeight="1">
      <c r="A5" s="31"/>
      <c r="B5" s="570" t="s">
        <v>555</v>
      </c>
      <c r="C5" s="570"/>
      <c r="D5" s="570"/>
      <c r="E5" s="570"/>
      <c r="F5" s="570"/>
      <c r="G5" s="32"/>
    </row>
    <row r="6" spans="1:7" s="33" customFormat="1" ht="19.899999999999999" customHeight="1">
      <c r="A6" s="31"/>
      <c r="B6" s="571" t="s">
        <v>473</v>
      </c>
      <c r="C6" s="571"/>
      <c r="D6" s="571"/>
      <c r="E6" s="571"/>
      <c r="F6" s="571"/>
      <c r="G6" s="85"/>
    </row>
    <row r="7" spans="1:7" s="33" customFormat="1" ht="19.899999999999999" customHeight="1">
      <c r="A7" s="31"/>
      <c r="B7" s="570" t="s">
        <v>544</v>
      </c>
      <c r="C7" s="570"/>
      <c r="D7" s="570"/>
      <c r="E7" s="570"/>
      <c r="F7" s="570"/>
      <c r="G7" s="83"/>
    </row>
    <row r="8" spans="1:7" ht="12.95">
      <c r="A8" s="47"/>
      <c r="D8" s="202"/>
      <c r="E8" s="290"/>
      <c r="F8" s="48"/>
      <c r="G8" s="48"/>
    </row>
    <row r="9" spans="1:7" ht="15.6" customHeight="1">
      <c r="A9" s="47"/>
      <c r="C9" s="208"/>
      <c r="D9" s="202" t="s">
        <v>386</v>
      </c>
      <c r="E9" s="290"/>
      <c r="F9" s="48"/>
      <c r="G9" s="167"/>
    </row>
    <row r="10" spans="1:7" ht="35.1" customHeight="1">
      <c r="A10" s="47"/>
      <c r="C10" s="146" t="s">
        <v>387</v>
      </c>
      <c r="D10" s="146" t="s">
        <v>388</v>
      </c>
      <c r="E10" s="202"/>
      <c r="F10" s="41"/>
      <c r="G10" s="41"/>
    </row>
    <row r="11" spans="1:7" ht="57.75" customHeight="1">
      <c r="A11" s="29">
        <v>1</v>
      </c>
      <c r="C11" s="347" t="s">
        <v>389</v>
      </c>
      <c r="D11" s="185">
        <f t="shared" ref="D11:D16" si="0">VLOOKUP(A11,PCH_ADULT_HAPLOID,9,FALSE)</f>
        <v>6652</v>
      </c>
      <c r="E11" s="202"/>
      <c r="F11" s="41"/>
      <c r="G11" s="41"/>
    </row>
    <row r="12" spans="1:7" ht="35.1" customHeight="1">
      <c r="A12" s="29">
        <v>2</v>
      </c>
      <c r="C12" s="219" t="s">
        <v>406</v>
      </c>
      <c r="D12" s="185">
        <f t="shared" si="0"/>
        <v>11744</v>
      </c>
      <c r="E12" s="211"/>
    </row>
    <row r="13" spans="1:7" ht="35.1" customHeight="1">
      <c r="A13" s="29">
        <v>3</v>
      </c>
      <c r="C13" s="219" t="s">
        <v>407</v>
      </c>
      <c r="D13" s="185">
        <f t="shared" si="0"/>
        <v>17682</v>
      </c>
      <c r="E13" s="211"/>
    </row>
    <row r="14" spans="1:7" ht="35.1" customHeight="1">
      <c r="A14" s="29">
        <v>4</v>
      </c>
      <c r="C14" s="220" t="s">
        <v>391</v>
      </c>
      <c r="D14" s="185">
        <f t="shared" si="0"/>
        <v>63963</v>
      </c>
      <c r="E14" s="211"/>
    </row>
    <row r="15" spans="1:7" ht="35.1" customHeight="1">
      <c r="A15" s="29">
        <v>5</v>
      </c>
      <c r="C15" s="212" t="s">
        <v>392</v>
      </c>
      <c r="D15" s="185">
        <f t="shared" si="0"/>
        <v>101033</v>
      </c>
      <c r="E15" s="211" t="s">
        <v>80</v>
      </c>
    </row>
    <row r="16" spans="1:7" ht="35.1" customHeight="1">
      <c r="A16" s="29">
        <v>6</v>
      </c>
      <c r="C16" s="212" t="s">
        <v>393</v>
      </c>
      <c r="D16" s="185">
        <f t="shared" si="0"/>
        <v>33411</v>
      </c>
      <c r="E16" s="211"/>
    </row>
    <row r="17" spans="1:9" ht="35.1" customHeight="1">
      <c r="A17" s="47"/>
      <c r="C17" s="221" t="s">
        <v>408</v>
      </c>
      <c r="D17" s="336">
        <f>SUM(D11:D16)</f>
        <v>234485</v>
      </c>
    </row>
    <row r="18" spans="1:9">
      <c r="A18" s="47"/>
      <c r="D18" s="348"/>
    </row>
    <row r="19" spans="1:9" ht="51" customHeight="1">
      <c r="A19" s="29">
        <v>7</v>
      </c>
      <c r="C19" s="216" t="s">
        <v>395</v>
      </c>
      <c r="D19" s="182">
        <f>VLOOKUP(A19,PCH_ADULT_HAPLOID,9,FALSE)</f>
        <v>2554</v>
      </c>
      <c r="E19" s="203"/>
      <c r="F19" s="30"/>
      <c r="G19" s="30"/>
    </row>
    <row r="20" spans="1:9" ht="51" customHeight="1">
      <c r="A20" s="29">
        <v>8</v>
      </c>
      <c r="C20" s="52" t="s">
        <v>396</v>
      </c>
      <c r="D20" s="225">
        <f>VLOOKUP(A20,PCH_ADULT_HAPLOID,9,FALSE)</f>
        <v>8014.1928120000002</v>
      </c>
      <c r="E20" s="45"/>
      <c r="F20" s="45"/>
      <c r="G20" s="45"/>
    </row>
    <row r="21" spans="1:9">
      <c r="A21" s="47"/>
      <c r="D21" s="293"/>
    </row>
    <row r="22" spans="1:9">
      <c r="A22" s="47"/>
      <c r="D22" s="215"/>
    </row>
    <row r="23" spans="1:9" ht="10.5" customHeight="1">
      <c r="A23" s="47"/>
      <c r="C23" s="218"/>
      <c r="D23" s="202" t="s">
        <v>409</v>
      </c>
    </row>
    <row r="24" spans="1:9" ht="67.5" customHeight="1">
      <c r="A24" s="29">
        <v>9</v>
      </c>
      <c r="C24" s="228" t="s">
        <v>410</v>
      </c>
      <c r="D24" s="349">
        <f>VLOOKUP(A24,PCH_ADULT_HAPLOID,9,FALSE)</f>
        <v>257547</v>
      </c>
    </row>
    <row r="25" spans="1:9" ht="45" customHeight="1">
      <c r="A25" s="29">
        <v>10</v>
      </c>
      <c r="C25" s="230" t="s">
        <v>411</v>
      </c>
      <c r="D25" s="231">
        <f>VLOOKUP(A25,PCH_ADULT_HAPLOID,9,FALSE)</f>
        <v>0.5</v>
      </c>
    </row>
    <row r="26" spans="1:9" s="33" customFormat="1" ht="19.899999999999999" customHeight="1">
      <c r="A26" s="31"/>
      <c r="B26" s="204"/>
      <c r="C26" s="204"/>
      <c r="D26" s="204"/>
      <c r="E26" s="204"/>
      <c r="F26" s="32"/>
      <c r="G26" s="32"/>
    </row>
    <row r="27" spans="1:9" ht="74.099999999999994" customHeight="1">
      <c r="A27" s="47"/>
      <c r="C27" s="598" t="s">
        <v>455</v>
      </c>
      <c r="D27" s="599"/>
      <c r="E27" s="599"/>
      <c r="F27" s="599"/>
      <c r="G27" s="600"/>
    </row>
    <row r="28" spans="1:9">
      <c r="A28" s="47"/>
    </row>
    <row r="29" spans="1:9" ht="36.75" customHeight="1">
      <c r="A29" s="47"/>
      <c r="C29" s="567" t="s">
        <v>398</v>
      </c>
      <c r="D29" s="568"/>
      <c r="E29" s="568"/>
      <c r="F29" s="568"/>
      <c r="G29" s="569"/>
      <c r="H29" s="48"/>
      <c r="I29" s="48"/>
    </row>
    <row r="30" spans="1:9">
      <c r="A30" s="47"/>
    </row>
    <row r="31" spans="1:9">
      <c r="A31" s="47"/>
    </row>
    <row r="32" spans="1:9">
      <c r="A32" s="47"/>
    </row>
    <row r="33" spans="1:1">
      <c r="A33" s="47"/>
    </row>
    <row r="34" spans="1:1">
      <c r="A34" s="47"/>
    </row>
    <row r="35" spans="1:1">
      <c r="A35" s="47"/>
    </row>
  </sheetData>
  <sheetProtection algorithmName="SHA-512" hashValue="K5nPNbF7ME0I/4AswFeNaFDjWCEqSx7J/d/ObPq0Ayd3DVUHzQlvpDccAsekqmqU+jCnD5nzWU0mg/QPWXqoGw==" saltValue="3ZytiNyhR/QHGEfzgk6qig==" spinCount="100000" sheet="1" objects="1" scenarios="1"/>
  <mergeCells count="7">
    <mergeCell ref="C29:G29"/>
    <mergeCell ref="C27:G27"/>
    <mergeCell ref="B3:F3"/>
    <mergeCell ref="B4:F4"/>
    <mergeCell ref="B5:F5"/>
    <mergeCell ref="B6:F6"/>
    <mergeCell ref="B7:F7"/>
  </mergeCells>
  <printOptions horizontalCentered="1"/>
  <pageMargins left="0.25" right="0.25" top="0.25" bottom="0.25" header="0.25" footer="0.25"/>
  <pageSetup scale="66"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B5364-E501-49EA-88AC-3CDB4A73CF8F}">
  <sheetPr codeName="Sheet28">
    <tabColor rgb="FF7030A0"/>
    <pageSetUpPr fitToPage="1"/>
  </sheetPr>
  <dimension ref="A1:I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3.625" style="207" customWidth="1"/>
    <col min="4" max="4" width="33.25" style="207" customWidth="1"/>
    <col min="5" max="5" width="18.625" style="207" customWidth="1"/>
    <col min="6" max="6" width="18.625" style="39" customWidth="1"/>
    <col min="7" max="7" width="12.625" style="39" customWidth="1"/>
    <col min="8" max="8" width="9" style="39" customWidth="1"/>
    <col min="9" max="16384" width="9" style="39"/>
  </cols>
  <sheetData>
    <row r="1" spans="1:8" s="483" customFormat="1" ht="20.100000000000001" hidden="1" customHeight="1">
      <c r="A1" s="481" t="e" cm="1">
        <f t="array" aca="1" ref="A1" ca="1">MID(CELL("filename",A1),FIND("]",CELL("filename",A1))+1,255)</f>
        <v>#VALUE!</v>
      </c>
      <c r="B1" s="482"/>
      <c r="C1" s="29">
        <v>3</v>
      </c>
      <c r="D1" s="29">
        <v>4</v>
      </c>
    </row>
    <row r="2" spans="1:8" ht="19.899999999999999" customHeight="1">
      <c r="A2" s="47"/>
    </row>
    <row r="3" spans="1:8" s="33" customFormat="1" ht="19.899999999999999" customHeight="1">
      <c r="A3" s="31"/>
      <c r="B3" s="571" t="s">
        <v>542</v>
      </c>
      <c r="C3" s="571"/>
      <c r="D3" s="571"/>
      <c r="E3" s="571"/>
      <c r="F3" s="83"/>
      <c r="G3" s="83"/>
    </row>
    <row r="4" spans="1:8" s="33" customFormat="1" ht="19.899999999999999" customHeight="1">
      <c r="A4" s="31"/>
      <c r="B4" s="571" t="s">
        <v>412</v>
      </c>
      <c r="C4" s="571"/>
      <c r="D4" s="571"/>
      <c r="E4" s="571"/>
      <c r="F4" s="83"/>
      <c r="G4" s="83"/>
      <c r="H4" s="83"/>
    </row>
    <row r="5" spans="1:8" s="33" customFormat="1" ht="19.899999999999999" customHeight="1">
      <c r="A5" s="31"/>
      <c r="B5" s="571" t="s">
        <v>555</v>
      </c>
      <c r="C5" s="571"/>
      <c r="D5" s="571"/>
      <c r="E5" s="571"/>
      <c r="F5" s="32"/>
      <c r="G5" s="83"/>
      <c r="H5" s="83"/>
    </row>
    <row r="6" spans="1:8" s="33" customFormat="1" ht="19.5" customHeight="1">
      <c r="A6" s="31"/>
      <c r="B6" s="571" t="s">
        <v>473</v>
      </c>
      <c r="C6" s="571"/>
      <c r="D6" s="571"/>
      <c r="E6" s="571"/>
      <c r="F6" s="85"/>
      <c r="G6" s="85"/>
    </row>
    <row r="7" spans="1:8" s="33" customFormat="1" ht="19.899999999999999" customHeight="1">
      <c r="A7" s="31"/>
      <c r="B7" s="571" t="s">
        <v>544</v>
      </c>
      <c r="C7" s="571"/>
      <c r="D7" s="571"/>
      <c r="E7" s="571"/>
      <c r="F7" s="83"/>
      <c r="G7" s="83"/>
    </row>
    <row r="8" spans="1:8" ht="12.95">
      <c r="A8" s="47"/>
      <c r="D8" s="202"/>
      <c r="E8" s="290"/>
      <c r="F8" s="48"/>
      <c r="G8" s="48"/>
    </row>
    <row r="9" spans="1:8" ht="18" customHeight="1">
      <c r="A9" s="47"/>
      <c r="C9" s="208"/>
      <c r="D9" s="202" t="s">
        <v>413</v>
      </c>
      <c r="E9" s="290"/>
      <c r="F9" s="48"/>
      <c r="G9" s="167"/>
    </row>
    <row r="10" spans="1:8" ht="24.95" customHeight="1">
      <c r="A10" s="47"/>
      <c r="C10" s="146" t="s">
        <v>387</v>
      </c>
      <c r="D10" s="146" t="s">
        <v>388</v>
      </c>
      <c r="E10" s="202"/>
      <c r="F10" s="41"/>
      <c r="G10" s="41"/>
    </row>
    <row r="11" spans="1:8" ht="57.75" customHeight="1">
      <c r="A11" s="29">
        <v>1</v>
      </c>
      <c r="C11" s="209" t="s">
        <v>389</v>
      </c>
      <c r="D11" s="158">
        <f t="shared" ref="D11:D16" si="0">VLOOKUP(A11,PCH_ADULT_ALLO_UNREL,9,FALSE)</f>
        <v>6797</v>
      </c>
      <c r="E11" s="202"/>
      <c r="F11" s="41"/>
      <c r="G11" s="41"/>
    </row>
    <row r="12" spans="1:8" ht="35.1" customHeight="1">
      <c r="A12" s="29">
        <v>2</v>
      </c>
      <c r="C12" s="220" t="s">
        <v>414</v>
      </c>
      <c r="D12" s="158">
        <f t="shared" si="0"/>
        <v>12000</v>
      </c>
      <c r="E12" s="211"/>
    </row>
    <row r="13" spans="1:8" ht="35.1" customHeight="1">
      <c r="A13" s="29">
        <v>3</v>
      </c>
      <c r="C13" s="219" t="s">
        <v>407</v>
      </c>
      <c r="D13" s="158" t="str">
        <f t="shared" si="0"/>
        <v>NBMD or Cord blood Invoice Cost</v>
      </c>
      <c r="E13" s="211"/>
    </row>
    <row r="14" spans="1:8" ht="35.1" customHeight="1">
      <c r="A14" s="29">
        <v>4</v>
      </c>
      <c r="C14" s="220" t="s">
        <v>391</v>
      </c>
      <c r="D14" s="158">
        <f t="shared" si="0"/>
        <v>65369</v>
      </c>
      <c r="E14" s="211"/>
    </row>
    <row r="15" spans="1:8" ht="35.1" customHeight="1">
      <c r="A15" s="29">
        <v>5</v>
      </c>
      <c r="C15" s="212" t="s">
        <v>392</v>
      </c>
      <c r="D15" s="158">
        <f t="shared" si="0"/>
        <v>103256</v>
      </c>
      <c r="E15" s="211" t="s">
        <v>80</v>
      </c>
    </row>
    <row r="16" spans="1:8" ht="35.1" customHeight="1">
      <c r="A16" s="29">
        <v>6</v>
      </c>
      <c r="C16" s="212" t="s">
        <v>393</v>
      </c>
      <c r="D16" s="158">
        <f t="shared" si="0"/>
        <v>34146</v>
      </c>
      <c r="E16" s="211"/>
    </row>
    <row r="17" spans="1:9" ht="35.1" customHeight="1">
      <c r="A17" s="47"/>
      <c r="C17" s="221" t="s">
        <v>415</v>
      </c>
      <c r="D17" s="238">
        <f>SUM(D11:D16)</f>
        <v>221568</v>
      </c>
    </row>
    <row r="18" spans="1:9" ht="15.6" customHeight="1">
      <c r="A18" s="47"/>
      <c r="D18" s="239"/>
    </row>
    <row r="19" spans="1:9" ht="54" customHeight="1">
      <c r="A19" s="29">
        <v>7</v>
      </c>
      <c r="C19" s="216" t="s">
        <v>395</v>
      </c>
      <c r="D19" s="346">
        <f>VLOOKUP(A19,PCH_ADULT_ALLO_UNREL,9,FALSE)</f>
        <v>2554</v>
      </c>
      <c r="E19" s="203"/>
      <c r="F19" s="30"/>
      <c r="G19" s="30"/>
    </row>
    <row r="20" spans="1:9" ht="62.1" customHeight="1">
      <c r="A20" s="29">
        <v>8</v>
      </c>
      <c r="C20" s="52" t="s">
        <v>396</v>
      </c>
      <c r="D20" s="225">
        <f>VLOOKUP(A20,PCH_ADULT_ALLO_UNREL,9,FALSE)</f>
        <v>8014.1928120000002</v>
      </c>
      <c r="E20" s="45"/>
      <c r="F20" s="45"/>
      <c r="G20" s="45"/>
    </row>
    <row r="21" spans="1:9" ht="34.5" customHeight="1">
      <c r="A21" s="47"/>
      <c r="D21" s="215"/>
    </row>
    <row r="22" spans="1:9" ht="23.1" customHeight="1">
      <c r="A22" s="47"/>
      <c r="C22" s="218"/>
      <c r="D22" s="202" t="s">
        <v>409</v>
      </c>
    </row>
    <row r="23" spans="1:9" ht="68.45" customHeight="1">
      <c r="A23" s="29">
        <v>9</v>
      </c>
      <c r="C23" s="228" t="s">
        <v>416</v>
      </c>
      <c r="D23" s="234">
        <f>VLOOKUP(A23,PCH_ADULT_ALLO_UNREL,9,FALSE)</f>
        <v>282076</v>
      </c>
    </row>
    <row r="24" spans="1:9" ht="41.45" customHeight="1">
      <c r="A24" s="29">
        <v>10</v>
      </c>
      <c r="C24" s="230" t="s">
        <v>411</v>
      </c>
      <c r="D24" s="231">
        <f>VLOOKUP(A24,PCH_ADULT_ALLO_UNREL,9,FALSE)</f>
        <v>0.5</v>
      </c>
    </row>
    <row r="25" spans="1:9">
      <c r="A25" s="47"/>
      <c r="C25" s="207" t="s">
        <v>80</v>
      </c>
    </row>
    <row r="26" spans="1:9">
      <c r="A26" s="47"/>
    </row>
    <row r="27" spans="1:9" ht="64.5" customHeight="1">
      <c r="A27" s="47"/>
      <c r="C27" s="598" t="s">
        <v>417</v>
      </c>
      <c r="D27" s="599"/>
      <c r="E27" s="599"/>
      <c r="F27" s="599"/>
      <c r="G27" s="600"/>
    </row>
    <row r="28" spans="1:9">
      <c r="A28" s="47"/>
    </row>
    <row r="29" spans="1:9" ht="36.75" customHeight="1">
      <c r="A29" s="47"/>
      <c r="C29" s="567" t="s">
        <v>398</v>
      </c>
      <c r="D29" s="568"/>
      <c r="E29" s="568"/>
      <c r="F29" s="568"/>
      <c r="G29" s="569"/>
      <c r="H29" s="48"/>
      <c r="I29" s="48"/>
    </row>
    <row r="30" spans="1:9">
      <c r="A30" s="47"/>
    </row>
    <row r="31" spans="1:9">
      <c r="A31" s="47"/>
    </row>
    <row r="32" spans="1:9">
      <c r="A32" s="47"/>
    </row>
    <row r="33" spans="1:1">
      <c r="A33" s="47"/>
    </row>
    <row r="34" spans="1:1">
      <c r="A34" s="47"/>
    </row>
    <row r="35" spans="1:1">
      <c r="A35" s="47"/>
    </row>
  </sheetData>
  <sheetProtection algorithmName="SHA-512" hashValue="TVw7KaBLPx4bq+Lf5rNwwVxYAoKG2jE9I8zsFwGdul5KJPmSOf/hfKMpLATqG+GLNmaByErK1+ewsrjq+E3L8w==" saltValue="niJsuXUn5mieandI/TvAHw==" spinCount="100000" sheet="1" objects="1" scenarios="1"/>
  <mergeCells count="7">
    <mergeCell ref="C29:G29"/>
    <mergeCell ref="B3:E3"/>
    <mergeCell ref="B4:E4"/>
    <mergeCell ref="B5:E5"/>
    <mergeCell ref="B6:E6"/>
    <mergeCell ref="B7:E7"/>
    <mergeCell ref="C27:G27"/>
  </mergeCells>
  <pageMargins left="0.25" right="0.25" top="0.25" bottom="0.25" header="0.25" footer="0.25"/>
  <pageSetup scale="64"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1049-E9DB-4F24-96FC-ACF2CD8BF59E}">
  <sheetPr codeName="Sheet88">
    <tabColor theme="7"/>
    <pageSetUpPr fitToPage="1"/>
  </sheetPr>
  <dimension ref="A1:I35"/>
  <sheetViews>
    <sheetView showGridLines="0" topLeftCell="B2" zoomScale="90" zoomScaleNormal="90" zoomScaleSheetLayoutView="70" workbookViewId="0">
      <selection activeCell="B5" sqref="B5:F5"/>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1" t="s">
        <v>542</v>
      </c>
      <c r="C3" s="571"/>
      <c r="D3" s="571"/>
      <c r="E3" s="345"/>
      <c r="F3" s="83"/>
      <c r="G3" s="83"/>
    </row>
    <row r="4" spans="1:9" s="33" customFormat="1" ht="19.899999999999999" customHeight="1">
      <c r="A4" s="31"/>
      <c r="B4" s="571" t="s">
        <v>418</v>
      </c>
      <c r="C4" s="571"/>
      <c r="D4" s="571"/>
      <c r="E4" s="303"/>
    </row>
    <row r="5" spans="1:9" s="33" customFormat="1" ht="19.899999999999999" customHeight="1">
      <c r="A5" s="31"/>
      <c r="B5" s="571" t="s">
        <v>543</v>
      </c>
      <c r="C5" s="571"/>
      <c r="D5" s="571"/>
      <c r="E5" s="345"/>
      <c r="F5" s="85"/>
      <c r="G5" s="85"/>
      <c r="H5" s="85"/>
      <c r="I5" s="85"/>
    </row>
    <row r="6" spans="1:9" s="33" customFormat="1" ht="19.899999999999999" customHeight="1">
      <c r="A6" s="31"/>
      <c r="B6" s="571" t="s">
        <v>544</v>
      </c>
      <c r="C6" s="571"/>
      <c r="D6" s="571"/>
      <c r="E6" s="345"/>
      <c r="F6" s="83"/>
      <c r="G6" s="83"/>
    </row>
    <row r="7" spans="1:9" s="38" customFormat="1" ht="14.1">
      <c r="A7" s="37"/>
      <c r="B7" s="205" t="s">
        <v>80</v>
      </c>
      <c r="C7" s="206"/>
      <c r="D7" s="304"/>
      <c r="E7" s="205"/>
    </row>
    <row r="8" spans="1:9" ht="39" customHeight="1">
      <c r="A8" s="47"/>
      <c r="C8" s="305" t="s">
        <v>387</v>
      </c>
      <c r="D8" s="305" t="s">
        <v>388</v>
      </c>
    </row>
    <row r="9" spans="1:9" ht="28.5" customHeight="1">
      <c r="A9" s="29">
        <v>1</v>
      </c>
      <c r="C9" s="230" t="s">
        <v>420</v>
      </c>
      <c r="D9" s="183">
        <f>VLOOKUP(A9,PCH_TBI,9,FALSE)</f>
        <v>8072</v>
      </c>
      <c r="G9" s="167"/>
    </row>
    <row r="10" spans="1:9" ht="44.1" customHeight="1">
      <c r="A10" s="47"/>
      <c r="C10" s="306" t="s">
        <v>421</v>
      </c>
      <c r="D10" s="186">
        <f>SUM(D9)</f>
        <v>8072</v>
      </c>
    </row>
    <row r="11" spans="1:9">
      <c r="A11" s="47"/>
    </row>
    <row r="12" spans="1:9">
      <c r="A12" s="47"/>
    </row>
    <row r="13" spans="1:9">
      <c r="A13" s="47"/>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EbUjKQ4ZyxpAISTl4sr/GBT2Hkckl5Wop9AvPQGadB0OYe2opkXeRljXw7YgNMTqarPpQ3/NpR0JtzmIX4QChw==" saltValue="c/8Nx+Ce64gs3BDNt+Sjbw==" spinCount="100000" sheet="1" objects="1" scenarios="1"/>
  <mergeCells count="4">
    <mergeCell ref="B6:D6"/>
    <mergeCell ref="B5:D5"/>
    <mergeCell ref="B3:D3"/>
    <mergeCell ref="B4:D4"/>
  </mergeCells>
  <printOptions horizontalCentered="1"/>
  <pageMargins left="0.25" right="0.25" top="0.25" bottom="0.25" header="0.25" footer="0.25"/>
  <pageSetup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89">
    <tabColor theme="7"/>
    <pageSetUpPr fitToPage="1"/>
  </sheetPr>
  <dimension ref="A1:I35"/>
  <sheetViews>
    <sheetView showGridLines="0" topLeftCell="B2" zoomScale="90" zoomScaleNormal="90" zoomScaleSheetLayoutView="70" workbookViewId="0">
      <selection activeCell="B5" sqref="B5:F5"/>
    </sheetView>
  </sheetViews>
  <sheetFormatPr defaultColWidth="9" defaultRowHeight="12.6"/>
  <cols>
    <col min="1" max="1" width="30.625" style="39" hidden="1" customWidth="1"/>
    <col min="2" max="2" width="6.625" style="207" customWidth="1"/>
    <col min="3" max="3" width="64" style="207" customWidth="1"/>
    <col min="4" max="4" width="38.375" style="207" customWidth="1"/>
    <col min="5" max="5" width="9" style="207"/>
    <col min="6"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1" t="s">
        <v>542</v>
      </c>
      <c r="C3" s="571"/>
      <c r="D3" s="571"/>
      <c r="E3" s="303"/>
    </row>
    <row r="4" spans="1:9" s="33" customFormat="1" ht="19.899999999999999" customHeight="1">
      <c r="A4" s="31"/>
      <c r="B4" s="571" t="s">
        <v>557</v>
      </c>
      <c r="C4" s="571"/>
      <c r="D4" s="571"/>
      <c r="E4" s="303"/>
    </row>
    <row r="5" spans="1:9" s="33" customFormat="1" ht="19.899999999999999" customHeight="1">
      <c r="A5" s="31"/>
      <c r="B5" s="571" t="s">
        <v>543</v>
      </c>
      <c r="C5" s="571"/>
      <c r="D5" s="571"/>
      <c r="E5" s="571"/>
      <c r="F5" s="85"/>
      <c r="G5" s="85"/>
      <c r="H5" s="85"/>
      <c r="I5" s="85"/>
    </row>
    <row r="6" spans="1:9" s="33" customFormat="1" ht="19.899999999999999" customHeight="1">
      <c r="A6" s="31"/>
      <c r="B6" s="571" t="s">
        <v>544</v>
      </c>
      <c r="C6" s="571"/>
      <c r="D6" s="571"/>
      <c r="E6" s="571"/>
    </row>
    <row r="7" spans="1:9" ht="18.75" customHeight="1">
      <c r="A7" s="47"/>
      <c r="B7" s="207" t="s">
        <v>80</v>
      </c>
      <c r="C7" s="207" t="s">
        <v>80</v>
      </c>
      <c r="D7" s="202"/>
    </row>
    <row r="8" spans="1:9" ht="13.9" customHeight="1">
      <c r="A8" s="47"/>
      <c r="C8" s="208"/>
      <c r="D8" s="291"/>
    </row>
    <row r="9" spans="1:9" ht="30.95" customHeight="1">
      <c r="A9" s="47"/>
      <c r="C9" s="146" t="s">
        <v>387</v>
      </c>
      <c r="D9" s="146" t="s">
        <v>388</v>
      </c>
      <c r="G9" s="167"/>
    </row>
    <row r="10" spans="1:9" ht="60.75" customHeight="1">
      <c r="A10" s="29">
        <v>1</v>
      </c>
      <c r="C10" s="343" t="s">
        <v>558</v>
      </c>
      <c r="D10" s="187" t="str">
        <f>VLOOKUP(A10,PCH_VOD,9,FALSE)</f>
        <v>PASS THRU of drug cost only</v>
      </c>
    </row>
    <row r="11" spans="1:9" ht="57.75" customHeight="1">
      <c r="A11" s="47"/>
      <c r="C11" s="221" t="s">
        <v>559</v>
      </c>
      <c r="D11" s="344" t="str">
        <f>D10</f>
        <v>PASS THRU of drug cost only</v>
      </c>
    </row>
    <row r="12" spans="1:9" ht="30.75" customHeight="1">
      <c r="A12" s="47"/>
      <c r="C12" s="581" t="s">
        <v>560</v>
      </c>
      <c r="D12" s="583"/>
    </row>
    <row r="13" spans="1:9" s="33" customFormat="1" ht="12.75" customHeight="1">
      <c r="A13" s="31"/>
      <c r="B13" s="204"/>
      <c r="C13" s="204"/>
      <c r="D13" s="204"/>
      <c r="E13" s="303"/>
    </row>
    <row r="14" spans="1:9">
      <c r="A14" s="47"/>
      <c r="D14" s="293"/>
    </row>
    <row r="15" spans="1:9">
      <c r="A15" s="47"/>
      <c r="D15" s="293"/>
      <c r="E15" s="207" t="s">
        <v>80</v>
      </c>
    </row>
    <row r="16" spans="1:9" ht="15" customHeight="1">
      <c r="A16" s="47"/>
      <c r="C16" s="218"/>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R9dcojKvzGua4e1HsR/wOp3wo/HIR6WG0pIpB0KKTrNhcwyh1f1KC4vkGt5iji7Ihl/wZ2hLc8lO5rVwhhxOYw==" saltValue="0oKvYO8TsZ8KE1XyHSlKZg==" spinCount="100000" sheet="1" objects="1" scenarios="1"/>
  <mergeCells count="5">
    <mergeCell ref="C12:D12"/>
    <mergeCell ref="B3:D3"/>
    <mergeCell ref="B4:D4"/>
    <mergeCell ref="B5:E5"/>
    <mergeCell ref="B6:E6"/>
  </mergeCells>
  <printOptions horizontalCentered="1"/>
  <pageMargins left="0.25" right="0.25" top="0.25" bottom="0.25" header="0.25" footer="0.25"/>
  <pageSetup scale="90"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91">
    <tabColor theme="7"/>
    <pageSetUpPr fitToPage="1"/>
  </sheetPr>
  <dimension ref="A1:I35"/>
  <sheetViews>
    <sheetView showGridLines="0" topLeftCell="B2" zoomScale="90" zoomScaleNormal="90" zoomScaleSheetLayoutView="70" workbookViewId="0">
      <selection activeCell="B5" sqref="B5:F5"/>
    </sheetView>
  </sheetViews>
  <sheetFormatPr defaultColWidth="9" defaultRowHeight="12.6"/>
  <cols>
    <col min="1" max="1" width="30.625" style="39" hidden="1" customWidth="1"/>
    <col min="2" max="2" width="6.625" style="207" customWidth="1"/>
    <col min="3" max="3" width="68.75" style="207" customWidth="1"/>
    <col min="4" max="4" width="24.625" style="207" customWidth="1"/>
    <col min="5" max="5" width="18.625" style="207" customWidth="1"/>
    <col min="6" max="6" width="18.625" style="39" customWidth="1"/>
    <col min="7" max="7" width="12.625" style="39" customWidth="1"/>
    <col min="8" max="8" width="9" style="39" customWidth="1"/>
    <col min="9"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0" t="s">
        <v>561</v>
      </c>
      <c r="C3" s="570"/>
      <c r="D3" s="570"/>
      <c r="E3" s="570"/>
      <c r="F3" s="570"/>
      <c r="G3" s="570"/>
    </row>
    <row r="4" spans="1:9" s="33" customFormat="1" ht="19.899999999999999" customHeight="1">
      <c r="A4" s="31"/>
      <c r="B4" s="570" t="s">
        <v>562</v>
      </c>
      <c r="C4" s="570"/>
      <c r="D4" s="570"/>
      <c r="E4" s="570"/>
      <c r="F4" s="570"/>
      <c r="G4" s="570"/>
    </row>
    <row r="5" spans="1:9" s="86" customFormat="1" ht="19.899999999999999" customHeight="1">
      <c r="A5" s="84"/>
      <c r="B5" s="571" t="s">
        <v>543</v>
      </c>
      <c r="C5" s="571"/>
      <c r="D5" s="571"/>
      <c r="E5" s="571"/>
      <c r="F5" s="571"/>
      <c r="G5" s="85"/>
      <c r="H5" s="85"/>
      <c r="I5" s="85"/>
    </row>
    <row r="6" spans="1:9" s="33" customFormat="1" ht="19.899999999999999" customHeight="1">
      <c r="A6" s="31"/>
      <c r="B6" s="572" t="s">
        <v>544</v>
      </c>
      <c r="C6" s="572"/>
      <c r="D6" s="572"/>
      <c r="E6" s="572"/>
      <c r="F6" s="570"/>
      <c r="G6" s="570"/>
    </row>
    <row r="7" spans="1:9" s="33" customFormat="1" ht="12.75" customHeight="1">
      <c r="A7" s="31"/>
      <c r="B7" s="204" t="s">
        <v>80</v>
      </c>
      <c r="C7" s="204" t="s">
        <v>80</v>
      </c>
      <c r="D7" s="204"/>
      <c r="E7" s="204"/>
      <c r="F7" s="32"/>
      <c r="G7" s="32"/>
    </row>
    <row r="8" spans="1:9" ht="12.6" customHeight="1">
      <c r="A8" s="47"/>
      <c r="C8" s="208"/>
      <c r="D8" s="202" t="s">
        <v>451</v>
      </c>
      <c r="E8" s="208"/>
      <c r="F8" s="40"/>
      <c r="G8" s="40"/>
    </row>
    <row r="9" spans="1:9" ht="24.95" customHeight="1">
      <c r="A9" s="47"/>
      <c r="C9" s="146" t="s">
        <v>387</v>
      </c>
      <c r="D9" s="146" t="s">
        <v>388</v>
      </c>
      <c r="E9" s="208"/>
      <c r="F9" s="40"/>
      <c r="G9" s="167"/>
    </row>
    <row r="10" spans="1:9" ht="45" customHeight="1">
      <c r="A10" s="29">
        <v>1</v>
      </c>
      <c r="C10" s="44" t="s">
        <v>389</v>
      </c>
      <c r="D10" s="158">
        <f>VLOOKUP(A10,PCH_KIDNEY_LIVING,9,FALSE)</f>
        <v>6061</v>
      </c>
      <c r="E10" s="202"/>
      <c r="F10" s="103"/>
      <c r="G10" s="41"/>
    </row>
    <row r="11" spans="1:9" ht="47.1" customHeight="1">
      <c r="A11" s="29">
        <v>2</v>
      </c>
      <c r="C11" s="219" t="s">
        <v>534</v>
      </c>
      <c r="D11" s="158">
        <f>VLOOKUP(A11,PCH_KIDNEY_LIVING,9,FALSE)</f>
        <v>131052</v>
      </c>
      <c r="E11" s="211"/>
      <c r="F11" s="103"/>
    </row>
    <row r="12" spans="1:9" ht="39.950000000000003" customHeight="1">
      <c r="A12" s="29">
        <v>3</v>
      </c>
      <c r="C12" s="212" t="s">
        <v>535</v>
      </c>
      <c r="D12" s="158">
        <f>VLOOKUP(A12,PCH_KIDNEY_LIVING,9,FALSE)</f>
        <v>22715</v>
      </c>
      <c r="E12" s="211"/>
      <c r="F12" s="103"/>
    </row>
    <row r="13" spans="1:9" ht="41.1" customHeight="1">
      <c r="A13" s="47"/>
      <c r="C13" s="221" t="s">
        <v>464</v>
      </c>
      <c r="D13" s="336">
        <f>SUM(D10:D12)</f>
        <v>159828</v>
      </c>
      <c r="F13" s="103"/>
    </row>
    <row r="14" spans="1:9" ht="21" customHeight="1">
      <c r="A14" s="47"/>
      <c r="D14" s="239"/>
    </row>
    <row r="15" spans="1:9" ht="48" customHeight="1">
      <c r="A15" s="29">
        <v>4</v>
      </c>
      <c r="C15" s="216" t="s">
        <v>434</v>
      </c>
      <c r="D15" s="158">
        <f>VLOOKUP(A15,PCH_KIDNEY_LIVING,9,FALSE)</f>
        <v>2554</v>
      </c>
      <c r="E15" s="203"/>
      <c r="F15" s="30"/>
      <c r="G15" s="30"/>
    </row>
    <row r="16" spans="1:9" ht="54.6" customHeight="1">
      <c r="A16" s="29">
        <v>5</v>
      </c>
      <c r="C16" s="52" t="s">
        <v>396</v>
      </c>
      <c r="D16" s="225">
        <f>VLOOKUP(A16,PCH_KIDNEY_LIVING,9,FALSE)</f>
        <v>8014.1928120000002</v>
      </c>
      <c r="E16" s="45"/>
      <c r="F16" s="45"/>
      <c r="G16" s="45"/>
    </row>
    <row r="17" spans="1:7" ht="27.6" customHeight="1">
      <c r="A17" s="29"/>
      <c r="D17" s="293"/>
    </row>
    <row r="18" spans="1:7" s="38" customFormat="1" ht="54.75" customHeight="1">
      <c r="A18" s="29"/>
      <c r="B18" s="205"/>
      <c r="C18" s="567" t="s">
        <v>417</v>
      </c>
      <c r="D18" s="568"/>
      <c r="E18" s="568"/>
      <c r="F18" s="568"/>
      <c r="G18" s="569"/>
    </row>
    <row r="19" spans="1:7" ht="15.6">
      <c r="A19" s="29"/>
    </row>
    <row r="20" spans="1:7" ht="28.5" customHeight="1">
      <c r="A20" s="47"/>
      <c r="C20" s="567" t="s">
        <v>452</v>
      </c>
      <c r="D20" s="568"/>
      <c r="E20" s="568"/>
      <c r="F20" s="568"/>
      <c r="G20" s="569"/>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Dd/GlxJYwJw6elFp3b5kVr65Mu75rwhto69e7N7wRGOBVEt8ixg6l/S6K/IoDlxZ5TCz3msOIo2CO3XRoL/3Qg==" saltValue="Pdpg8vbIi9GkyDqN3J8ayQ==" spinCount="100000" sheet="1" objects="1" scenarios="1"/>
  <mergeCells count="6">
    <mergeCell ref="C20:G20"/>
    <mergeCell ref="C18:G18"/>
    <mergeCell ref="B3:G3"/>
    <mergeCell ref="B4:G4"/>
    <mergeCell ref="B6:G6"/>
    <mergeCell ref="B5:F5"/>
  </mergeCells>
  <printOptions horizontalCentered="1"/>
  <pageMargins left="0.25" right="0.25" top="0.25" bottom="0.25" header="0.25" footer="0.25"/>
  <pageSetup scale="73"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92">
    <tabColor theme="7"/>
    <pageSetUpPr fitToPage="1"/>
  </sheetPr>
  <dimension ref="A1:I35"/>
  <sheetViews>
    <sheetView showGridLines="0" topLeftCell="B2" zoomScale="90" zoomScaleNormal="90" zoomScaleSheetLayoutView="70" workbookViewId="0">
      <selection activeCell="B5" sqref="B5:F5"/>
    </sheetView>
  </sheetViews>
  <sheetFormatPr defaultColWidth="9" defaultRowHeight="12.6"/>
  <cols>
    <col min="1" max="1" width="30.625" style="39" hidden="1" customWidth="1"/>
    <col min="2" max="2" width="6.625" style="207" customWidth="1"/>
    <col min="3" max="3" width="64" style="207" customWidth="1"/>
    <col min="4" max="4" width="29" style="207" customWidth="1"/>
    <col min="5" max="5" width="18.625" style="207" customWidth="1"/>
    <col min="6" max="6" width="18.625" style="39" customWidth="1"/>
    <col min="7" max="7" width="12.625" style="39" customWidth="1"/>
    <col min="8" max="8" width="9" style="39" customWidth="1"/>
    <col min="9" max="16384" width="9" style="39"/>
  </cols>
  <sheetData>
    <row r="1" spans="1:9" s="483" customFormat="1" ht="20.100000000000001" hidden="1" customHeight="1">
      <c r="A1" s="481" t="e" cm="1">
        <f t="array" aca="1" ref="A1" ca="1">MID(CELL("filename",A1),FIND("]",CELL("filename",A1))+1,255)</f>
        <v>#VALUE!</v>
      </c>
      <c r="B1" s="482"/>
      <c r="C1" s="29">
        <v>3</v>
      </c>
      <c r="D1" s="29">
        <v>4</v>
      </c>
    </row>
    <row r="2" spans="1:9">
      <c r="A2" s="47"/>
    </row>
    <row r="3" spans="1:9" s="33" customFormat="1" ht="19.899999999999999" customHeight="1">
      <c r="A3" s="31"/>
      <c r="B3" s="570" t="s">
        <v>561</v>
      </c>
      <c r="C3" s="570"/>
      <c r="D3" s="570"/>
      <c r="E3" s="570"/>
      <c r="F3" s="570"/>
      <c r="G3" s="83"/>
    </row>
    <row r="4" spans="1:9" s="33" customFormat="1" ht="19.899999999999999" customHeight="1">
      <c r="A4" s="31"/>
      <c r="B4" s="570" t="s">
        <v>563</v>
      </c>
      <c r="C4" s="570"/>
      <c r="D4" s="570"/>
      <c r="E4" s="570"/>
      <c r="F4" s="570"/>
      <c r="G4" s="83"/>
    </row>
    <row r="5" spans="1:9" s="86" customFormat="1" ht="19.899999999999999" customHeight="1">
      <c r="A5" s="84"/>
      <c r="B5" s="571" t="s">
        <v>543</v>
      </c>
      <c r="C5" s="571"/>
      <c r="D5" s="571"/>
      <c r="E5" s="571"/>
      <c r="F5" s="571"/>
      <c r="G5" s="85"/>
      <c r="H5" s="85"/>
      <c r="I5" s="85"/>
    </row>
    <row r="6" spans="1:9" s="33" customFormat="1" ht="19.899999999999999" customHeight="1">
      <c r="A6" s="31"/>
      <c r="B6" s="572" t="s">
        <v>544</v>
      </c>
      <c r="C6" s="572"/>
      <c r="D6" s="572"/>
      <c r="E6" s="572"/>
      <c r="F6" s="572"/>
      <c r="G6" s="83"/>
    </row>
    <row r="7" spans="1:9" s="33" customFormat="1" ht="12.75" customHeight="1">
      <c r="A7" s="31"/>
      <c r="B7" s="204" t="s">
        <v>80</v>
      </c>
      <c r="C7" s="204" t="s">
        <v>80</v>
      </c>
      <c r="D7" s="204"/>
      <c r="E7" s="204"/>
      <c r="F7" s="32"/>
      <c r="G7" s="32"/>
    </row>
    <row r="8" spans="1:9" ht="19.5" customHeight="1">
      <c r="A8" s="47"/>
      <c r="C8" s="208"/>
      <c r="D8" s="202" t="s">
        <v>451</v>
      </c>
      <c r="E8" s="208"/>
      <c r="F8" s="40"/>
      <c r="G8" s="40"/>
    </row>
    <row r="9" spans="1:9" ht="24.75" customHeight="1">
      <c r="A9" s="47"/>
      <c r="C9" s="146" t="s">
        <v>387</v>
      </c>
      <c r="D9" s="146" t="s">
        <v>388</v>
      </c>
      <c r="E9" s="208"/>
      <c r="F9" s="40"/>
      <c r="G9" s="167"/>
    </row>
    <row r="10" spans="1:9" ht="46.5" customHeight="1">
      <c r="A10" s="29">
        <v>1</v>
      </c>
      <c r="C10" s="44" t="s">
        <v>389</v>
      </c>
      <c r="D10" s="158">
        <f>VLOOKUP(A10,PCH_KIDNEY_CADAVERIC,9,FALSE)</f>
        <v>5782</v>
      </c>
      <c r="E10" s="342"/>
      <c r="F10" s="41"/>
      <c r="G10" s="41"/>
    </row>
    <row r="11" spans="1:9" ht="47.45" customHeight="1">
      <c r="A11" s="29">
        <v>2</v>
      </c>
      <c r="C11" s="216" t="s">
        <v>534</v>
      </c>
      <c r="D11" s="158">
        <f>VLOOKUP(A11,PCH_KIDNEY_CADAVERIC,9,FALSE)</f>
        <v>129303</v>
      </c>
      <c r="E11" s="203"/>
      <c r="F11" s="30"/>
      <c r="G11" s="30"/>
    </row>
    <row r="12" spans="1:9" ht="35.1" customHeight="1">
      <c r="A12" s="47"/>
      <c r="C12" s="221" t="s">
        <v>536</v>
      </c>
      <c r="D12" s="336">
        <f>SUM(D10:D11)</f>
        <v>135085</v>
      </c>
      <c r="E12" s="296"/>
    </row>
    <row r="13" spans="1:9" ht="24.95" customHeight="1">
      <c r="A13" s="47"/>
      <c r="C13" s="207" t="s">
        <v>80</v>
      </c>
      <c r="D13" s="224" t="s">
        <v>80</v>
      </c>
    </row>
    <row r="14" spans="1:9" ht="47.45" customHeight="1">
      <c r="A14" s="29">
        <v>3</v>
      </c>
      <c r="C14" s="216" t="s">
        <v>434</v>
      </c>
      <c r="D14" s="158">
        <f>VLOOKUP(A14,PCH_KIDNEY_CADAVERIC,9,FALSE)</f>
        <v>2554</v>
      </c>
      <c r="E14" s="203"/>
      <c r="F14" s="30"/>
      <c r="G14" s="30"/>
    </row>
    <row r="15" spans="1:9" ht="54.75" customHeight="1">
      <c r="A15" s="29">
        <v>4</v>
      </c>
      <c r="C15" s="52" t="s">
        <v>396</v>
      </c>
      <c r="D15" s="225">
        <f>VLOOKUP(A15,PCH_KIDNEY_CADAVERIC,9,FALSE)</f>
        <v>8014.1928120000002</v>
      </c>
      <c r="E15" s="45"/>
      <c r="F15" s="45"/>
      <c r="G15" s="45"/>
    </row>
    <row r="16" spans="1:9" ht="33" customHeight="1">
      <c r="A16" s="29"/>
      <c r="D16" s="293"/>
    </row>
    <row r="17" spans="1:7" s="38" customFormat="1" ht="54.6" customHeight="1">
      <c r="A17" s="37"/>
      <c r="B17" s="205"/>
      <c r="C17" s="567" t="s">
        <v>417</v>
      </c>
      <c r="D17" s="568"/>
      <c r="E17" s="568"/>
      <c r="F17" s="568"/>
      <c r="G17" s="569"/>
    </row>
    <row r="18" spans="1:7" ht="24.95" customHeight="1">
      <c r="A18" s="47"/>
    </row>
    <row r="19" spans="1:7" ht="36.950000000000003" customHeight="1">
      <c r="A19" s="47"/>
      <c r="C19" s="567" t="s">
        <v>452</v>
      </c>
      <c r="D19" s="568"/>
      <c r="E19" s="568"/>
      <c r="F19" s="568"/>
      <c r="G19" s="569"/>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sheetData>
  <sheetProtection algorithmName="SHA-512" hashValue="yH0k9sVh0S3VW+jLjKfPbC0Ri+vXYA4HAz9AKI3SZ2mVS845uF7Jli062/w1vI2ubS/IuTSQXlcmzf9H/essaQ==" saltValue="IFvyCoYszHzIrnR9c8r5Gw==" spinCount="100000" sheet="1" objects="1" scenarios="1"/>
  <mergeCells count="6">
    <mergeCell ref="B3:F3"/>
    <mergeCell ref="B6:F6"/>
    <mergeCell ref="C19:G19"/>
    <mergeCell ref="C17:G17"/>
    <mergeCell ref="B5:F5"/>
    <mergeCell ref="B4:F4"/>
  </mergeCells>
  <printOptions horizontalCentered="1"/>
  <pageMargins left="0.25" right="0.25" top="0.25" bottom="0.25" header="0.25" footer="0.25"/>
  <pageSetup scale="74"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93">
    <tabColor theme="7"/>
    <pageSetUpPr fitToPage="1"/>
  </sheetPr>
  <dimension ref="A1:I35"/>
  <sheetViews>
    <sheetView showGridLines="0" topLeftCell="B2" zoomScale="90" zoomScaleNormal="90" zoomScaleSheetLayoutView="70" workbookViewId="0">
      <selection activeCell="B5" sqref="B5:G5"/>
    </sheetView>
  </sheetViews>
  <sheetFormatPr defaultColWidth="9" defaultRowHeight="12.6"/>
  <cols>
    <col min="1" max="1" width="30.625" style="48" hidden="1" customWidth="1"/>
    <col min="2" max="2" width="6.625" style="290" customWidth="1"/>
    <col min="3" max="3" width="76.125" style="290" customWidth="1"/>
    <col min="4" max="4" width="24.75" style="290" customWidth="1"/>
    <col min="5" max="5" width="2.375" style="290" customWidth="1"/>
    <col min="6" max="6" width="12.5" style="48" customWidth="1"/>
    <col min="7" max="7" width="19.125" style="48" customWidth="1"/>
    <col min="8" max="8" width="12.5" style="48" customWidth="1"/>
    <col min="9" max="9" width="40.25" style="48" customWidth="1"/>
    <col min="10" max="16384" width="9" style="48"/>
  </cols>
  <sheetData>
    <row r="1" spans="1:9" s="491" customFormat="1" ht="20.100000000000001" hidden="1" customHeight="1">
      <c r="A1" s="481" t="e" cm="1">
        <f t="array" aca="1" ref="A1" ca="1">MID(CELL("filename",A1),FIND("]",CELL("filename",A1))+1,255)</f>
        <v>#VALUE!</v>
      </c>
      <c r="B1" s="490"/>
      <c r="C1" s="29">
        <v>3</v>
      </c>
      <c r="D1" s="29">
        <v>4</v>
      </c>
    </row>
    <row r="2" spans="1:9" ht="15" customHeight="1">
      <c r="A2" s="62"/>
      <c r="B2" s="207"/>
      <c r="C2" s="207"/>
      <c r="D2" s="584"/>
      <c r="E2" s="584"/>
      <c r="F2" s="584"/>
      <c r="G2" s="584"/>
      <c r="H2" s="584"/>
      <c r="I2" s="584"/>
    </row>
    <row r="3" spans="1:9" ht="19.899999999999999" customHeight="1">
      <c r="A3" s="62"/>
      <c r="B3" s="570" t="s">
        <v>542</v>
      </c>
      <c r="C3" s="570"/>
      <c r="D3" s="570"/>
      <c r="E3" s="570"/>
      <c r="F3" s="570"/>
      <c r="G3" s="570"/>
      <c r="H3" s="83"/>
      <c r="I3" s="83"/>
    </row>
    <row r="4" spans="1:9" ht="19.899999999999999" customHeight="1">
      <c r="A4" s="62"/>
      <c r="B4" s="570" t="s">
        <v>496</v>
      </c>
      <c r="C4" s="570"/>
      <c r="D4" s="570"/>
      <c r="E4" s="570"/>
      <c r="F4" s="570"/>
      <c r="G4" s="570"/>
      <c r="H4" s="83"/>
      <c r="I4" s="83"/>
    </row>
    <row r="5" spans="1:9" ht="19.899999999999999" customHeight="1">
      <c r="A5" s="62"/>
      <c r="B5" s="571" t="s">
        <v>543</v>
      </c>
      <c r="C5" s="571"/>
      <c r="D5" s="571"/>
      <c r="E5" s="571"/>
      <c r="F5" s="571"/>
      <c r="G5" s="571"/>
      <c r="H5" s="85"/>
      <c r="I5" s="85"/>
    </row>
    <row r="6" spans="1:9" ht="19.899999999999999" customHeight="1">
      <c r="A6" s="62"/>
      <c r="B6" s="572" t="s">
        <v>544</v>
      </c>
      <c r="C6" s="572"/>
      <c r="D6" s="572"/>
      <c r="E6" s="572"/>
      <c r="F6" s="572"/>
      <c r="G6" s="572"/>
      <c r="H6" s="101"/>
      <c r="I6" s="101"/>
    </row>
    <row r="7" spans="1:9" ht="19.899999999999999" customHeight="1">
      <c r="A7" s="62"/>
      <c r="B7" s="617" t="s">
        <v>80</v>
      </c>
      <c r="C7" s="617"/>
      <c r="D7" s="617"/>
      <c r="E7" s="617"/>
      <c r="F7" s="617"/>
      <c r="G7" s="617"/>
      <c r="H7" s="617"/>
      <c r="I7" s="617"/>
    </row>
    <row r="8" spans="1:9" ht="18.600000000000001" customHeight="1">
      <c r="A8" s="62"/>
      <c r="B8" s="207"/>
      <c r="C8" s="207"/>
      <c r="D8" s="202" t="s">
        <v>564</v>
      </c>
    </row>
    <row r="9" spans="1:9" ht="15.95" customHeight="1">
      <c r="A9" s="62"/>
      <c r="B9" s="207"/>
      <c r="C9" s="208"/>
      <c r="D9" s="202" t="s">
        <v>565</v>
      </c>
      <c r="F9" s="94"/>
      <c r="G9" s="167"/>
      <c r="H9" s="94"/>
      <c r="I9" s="94"/>
    </row>
    <row r="10" spans="1:9" ht="57.75" customHeight="1">
      <c r="A10" s="62"/>
      <c r="B10" s="207"/>
      <c r="C10" s="146" t="s">
        <v>387</v>
      </c>
      <c r="D10" s="102" t="s">
        <v>566</v>
      </c>
      <c r="E10" s="291"/>
      <c r="F10" s="41"/>
      <c r="G10" s="41"/>
      <c r="H10" s="41"/>
      <c r="I10" s="81"/>
    </row>
    <row r="11" spans="1:9" ht="45.75" customHeight="1">
      <c r="A11" s="29">
        <v>1</v>
      </c>
      <c r="B11" s="207"/>
      <c r="C11" s="44" t="s">
        <v>389</v>
      </c>
      <c r="D11" s="158">
        <f>VLOOKUP(A11,PCH_PEDIATRIC_HEART,9,FALSE)</f>
        <v>11335</v>
      </c>
      <c r="E11" s="291"/>
      <c r="F11" s="41"/>
      <c r="G11" s="41"/>
      <c r="H11" s="41"/>
      <c r="I11" s="81"/>
    </row>
    <row r="12" spans="1:9" ht="39.950000000000003" customHeight="1">
      <c r="A12" s="29">
        <v>2</v>
      </c>
      <c r="B12" s="207"/>
      <c r="C12" s="334" t="s">
        <v>391</v>
      </c>
      <c r="D12" s="158">
        <f>VLOOKUP(A12,PCH_PEDIATRIC_HEART,9,FALSE)</f>
        <v>209210</v>
      </c>
      <c r="E12" s="294"/>
      <c r="F12" s="41"/>
      <c r="G12" s="39"/>
      <c r="H12" s="39"/>
      <c r="I12" s="39"/>
    </row>
    <row r="13" spans="1:9" ht="39.950000000000003" customHeight="1">
      <c r="A13" s="29">
        <v>3</v>
      </c>
      <c r="B13" s="207"/>
      <c r="C13" s="335" t="s">
        <v>392</v>
      </c>
      <c r="D13" s="158">
        <f>VLOOKUP(A13,PCH_PEDIATRIC_HEART,9,FALSE)</f>
        <v>156908</v>
      </c>
      <c r="E13" s="294"/>
      <c r="F13" s="41"/>
      <c r="G13" s="39"/>
      <c r="H13" s="39"/>
      <c r="I13" s="39"/>
    </row>
    <row r="14" spans="1:9" ht="40.5" customHeight="1">
      <c r="A14" s="29">
        <v>4</v>
      </c>
      <c r="B14" s="207"/>
      <c r="C14" s="335" t="s">
        <v>393</v>
      </c>
      <c r="D14" s="158">
        <f>VLOOKUP(A14,PCH_PEDIATRIC_HEART,9,FALSE)</f>
        <v>59775</v>
      </c>
      <c r="E14" s="294" t="s">
        <v>80</v>
      </c>
      <c r="F14" s="41"/>
      <c r="G14" s="39"/>
      <c r="H14" s="39"/>
      <c r="I14" s="39"/>
    </row>
    <row r="15" spans="1:9" ht="39.950000000000003" customHeight="1">
      <c r="A15" s="47"/>
      <c r="B15" s="207"/>
      <c r="C15" s="221" t="s">
        <v>567</v>
      </c>
      <c r="D15" s="336">
        <f>SUM(D11:D14)</f>
        <v>437228</v>
      </c>
      <c r="E15" s="207"/>
      <c r="F15" s="39"/>
      <c r="G15" s="39"/>
      <c r="H15" s="39"/>
      <c r="I15" s="39"/>
    </row>
    <row r="16" spans="1:9" ht="15.75" customHeight="1">
      <c r="A16" s="62"/>
      <c r="B16" s="207"/>
      <c r="C16" s="207"/>
      <c r="D16" s="337"/>
      <c r="E16" s="207"/>
      <c r="F16" s="39"/>
      <c r="G16" s="39"/>
      <c r="H16" s="39"/>
      <c r="I16" s="39"/>
    </row>
    <row r="17" spans="1:9" ht="48" customHeight="1">
      <c r="A17" s="29">
        <v>5</v>
      </c>
      <c r="B17" s="207"/>
      <c r="C17" s="216" t="s">
        <v>395</v>
      </c>
      <c r="D17" s="158">
        <f>VLOOKUP(A17,PCH_PEDIATRIC_HEART,9,FALSE)</f>
        <v>2554</v>
      </c>
      <c r="E17" s="203"/>
      <c r="F17" s="30"/>
      <c r="G17" s="30"/>
      <c r="H17" s="30"/>
      <c r="I17" s="39"/>
    </row>
    <row r="18" spans="1:9" ht="50.1" customHeight="1">
      <c r="A18" s="29">
        <v>6</v>
      </c>
      <c r="B18" s="207"/>
      <c r="C18" s="52" t="s">
        <v>396</v>
      </c>
      <c r="D18" s="225">
        <f>VLOOKUP(A18,PCH_PEDIATRIC_HEART,9,FALSE)</f>
        <v>8014.1928120000002</v>
      </c>
      <c r="E18" s="45"/>
      <c r="F18" s="45"/>
      <c r="G18" s="45"/>
      <c r="H18" s="45"/>
      <c r="I18" s="39"/>
    </row>
    <row r="19" spans="1:9" ht="32.1" customHeight="1">
      <c r="A19" s="62"/>
      <c r="B19" s="207"/>
      <c r="C19" s="207"/>
      <c r="D19" s="338"/>
      <c r="E19" s="207"/>
      <c r="F19" s="39"/>
      <c r="G19" s="39"/>
      <c r="H19" s="39"/>
      <c r="I19" s="39"/>
    </row>
    <row r="20" spans="1:9" ht="18" customHeight="1">
      <c r="A20" s="62"/>
      <c r="B20" s="207"/>
      <c r="C20" s="218"/>
      <c r="D20" s="339" t="s">
        <v>409</v>
      </c>
      <c r="E20" s="207"/>
      <c r="F20" s="39"/>
      <c r="G20" s="39"/>
      <c r="H20" s="39"/>
      <c r="I20" s="39"/>
    </row>
    <row r="21" spans="1:9" ht="86.1" customHeight="1">
      <c r="A21" s="29">
        <v>7</v>
      </c>
      <c r="B21" s="207"/>
      <c r="C21" s="228" t="s">
        <v>568</v>
      </c>
      <c r="D21" s="340">
        <f>VLOOKUP(A21,PCH_PEDIATRIC_HEART,9,FALSE)</f>
        <v>1533025</v>
      </c>
      <c r="F21" s="30"/>
      <c r="G21" s="30"/>
      <c r="H21" s="30"/>
      <c r="I21" s="30"/>
    </row>
    <row r="22" spans="1:9" ht="41.45" customHeight="1">
      <c r="A22" s="29">
        <v>8</v>
      </c>
      <c r="B22" s="207"/>
      <c r="C22" s="230" t="s">
        <v>411</v>
      </c>
      <c r="D22" s="231">
        <f>VLOOKUP(A22,PCH_PEDIATRIC_HEART,9,FALSE)</f>
        <v>0.5</v>
      </c>
      <c r="F22" s="30"/>
      <c r="G22" s="30"/>
      <c r="H22" s="30"/>
      <c r="I22" s="30"/>
    </row>
    <row r="23" spans="1:9" ht="18.600000000000001" customHeight="1">
      <c r="A23" s="62"/>
      <c r="B23" s="207"/>
      <c r="C23" s="45"/>
      <c r="D23" s="341"/>
      <c r="E23" s="45"/>
      <c r="F23" s="53"/>
      <c r="G23" s="53"/>
      <c r="H23" s="53"/>
      <c r="I23" s="53"/>
    </row>
    <row r="24" spans="1:9" ht="91.5" customHeight="1">
      <c r="A24" s="62"/>
      <c r="B24" s="207"/>
      <c r="C24" s="598" t="s">
        <v>569</v>
      </c>
      <c r="D24" s="599"/>
      <c r="E24" s="599"/>
      <c r="F24" s="599"/>
      <c r="G24" s="599"/>
      <c r="H24" s="600"/>
      <c r="I24" s="53"/>
    </row>
    <row r="25" spans="1:9" ht="14.25" customHeight="1">
      <c r="A25" s="62"/>
    </row>
    <row r="26" spans="1:9" ht="37.5" customHeight="1">
      <c r="A26" s="62"/>
      <c r="B26" s="206"/>
      <c r="C26" s="611" t="s">
        <v>417</v>
      </c>
      <c r="D26" s="612"/>
      <c r="E26" s="612"/>
      <c r="F26" s="612"/>
      <c r="G26" s="612"/>
      <c r="H26" s="612"/>
      <c r="I26" s="613"/>
    </row>
    <row r="27" spans="1:9">
      <c r="A27" s="62"/>
      <c r="C27" s="614"/>
      <c r="D27" s="615"/>
      <c r="E27" s="615"/>
      <c r="F27" s="615"/>
      <c r="G27" s="615"/>
      <c r="H27" s="615"/>
      <c r="I27" s="616"/>
    </row>
    <row r="28" spans="1:9">
      <c r="A28" s="62"/>
    </row>
    <row r="29" spans="1:9" ht="23.1" customHeight="1">
      <c r="A29" s="62"/>
      <c r="C29" s="567" t="s">
        <v>452</v>
      </c>
      <c r="D29" s="568"/>
      <c r="E29" s="568"/>
      <c r="F29" s="568"/>
      <c r="G29" s="568"/>
      <c r="H29" s="568"/>
      <c r="I29" s="569"/>
    </row>
    <row r="30" spans="1:9">
      <c r="A30" s="62"/>
    </row>
    <row r="31" spans="1:9" s="39" customFormat="1" ht="36.75" customHeight="1">
      <c r="A31" s="47"/>
      <c r="B31" s="207"/>
      <c r="C31" s="608" t="s">
        <v>570</v>
      </c>
      <c r="D31" s="609"/>
      <c r="E31" s="609"/>
      <c r="F31" s="609"/>
      <c r="G31" s="609"/>
      <c r="H31" s="609"/>
      <c r="I31" s="610"/>
    </row>
    <row r="32" spans="1:9">
      <c r="A32" s="62"/>
    </row>
    <row r="33" spans="1:1">
      <c r="A33" s="62"/>
    </row>
    <row r="34" spans="1:1">
      <c r="A34" s="62"/>
    </row>
    <row r="35" spans="1:1">
      <c r="A35" s="62"/>
    </row>
  </sheetData>
  <sheetProtection algorithmName="SHA-512" hashValue="o+81jtzbi0qXCRasQt66K/wEO94EnaNOO05BkL/dwbtAWqes4spSdU0b8Yb0kHuhlIbeWuvYzXHqz/AO3LvotA==" saltValue="Ced69/ZrVV2LNER+dXqPPA==" spinCount="100000" sheet="1" objects="1" scenarios="1"/>
  <mergeCells count="10">
    <mergeCell ref="B5:G5"/>
    <mergeCell ref="B6:G6"/>
    <mergeCell ref="C31:I31"/>
    <mergeCell ref="D2:I2"/>
    <mergeCell ref="C29:I29"/>
    <mergeCell ref="C26:I27"/>
    <mergeCell ref="B7:I7"/>
    <mergeCell ref="B3:G3"/>
    <mergeCell ref="B4:G4"/>
    <mergeCell ref="C24:H24"/>
  </mergeCells>
  <printOptions horizontalCentered="1"/>
  <pageMargins left="0.25" right="0.25" top="0.25" bottom="0.25" header="0.25" footer="0.25"/>
  <pageSetup scale="5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95">
    <tabColor theme="7"/>
    <pageSetUpPr fitToPage="1"/>
  </sheetPr>
  <dimension ref="A1:G35"/>
  <sheetViews>
    <sheetView showGridLines="0" tabSelected="1" topLeftCell="B2" zoomScale="90" zoomScaleNormal="90" zoomScaleSheetLayoutView="70" workbookViewId="0">
      <selection activeCell="B3" sqref="B3:G3"/>
    </sheetView>
  </sheetViews>
  <sheetFormatPr defaultColWidth="9" defaultRowHeight="12.6"/>
  <cols>
    <col min="1" max="1" width="30.625" style="48" hidden="1" customWidth="1"/>
    <col min="2" max="2" width="6.625" style="290" customWidth="1"/>
    <col min="3" max="3" width="69.875" style="290" customWidth="1"/>
    <col min="4" max="4" width="25.125" style="290" customWidth="1"/>
    <col min="5" max="5" width="10.5" style="290" customWidth="1"/>
    <col min="6" max="6" width="11.25" style="48" customWidth="1"/>
    <col min="7" max="7" width="23.7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c r="B2" s="207"/>
      <c r="C2" s="207"/>
      <c r="D2" s="207"/>
      <c r="E2" s="207"/>
      <c r="F2" s="39"/>
      <c r="G2" s="39"/>
    </row>
    <row r="3" spans="1:7" ht="19.899999999999999" customHeight="1">
      <c r="A3" s="62"/>
      <c r="B3" s="570" t="s">
        <v>571</v>
      </c>
      <c r="C3" s="570"/>
      <c r="D3" s="570"/>
      <c r="E3" s="570"/>
      <c r="F3" s="570"/>
      <c r="G3" s="570"/>
    </row>
    <row r="4" spans="1:7" ht="19.899999999999999" customHeight="1">
      <c r="A4" s="62"/>
      <c r="B4" s="570" t="s">
        <v>572</v>
      </c>
      <c r="C4" s="570"/>
      <c r="D4" s="570"/>
      <c r="E4" s="570"/>
      <c r="F4" s="570"/>
      <c r="G4" s="570"/>
    </row>
    <row r="5" spans="1:7" ht="19.899999999999999" customHeight="1">
      <c r="A5" s="62"/>
      <c r="B5" s="571" t="s">
        <v>543</v>
      </c>
      <c r="C5" s="571"/>
      <c r="D5" s="571"/>
      <c r="E5" s="571"/>
      <c r="F5" s="571"/>
      <c r="G5" s="571"/>
    </row>
    <row r="6" spans="1:7" ht="19.899999999999999" customHeight="1">
      <c r="A6" s="62"/>
      <c r="B6" s="572" t="s">
        <v>544</v>
      </c>
      <c r="C6" s="572"/>
      <c r="D6" s="572"/>
      <c r="E6" s="572"/>
      <c r="F6" s="570"/>
      <c r="G6" s="570"/>
    </row>
    <row r="7" spans="1:7" ht="18" customHeight="1">
      <c r="A7" s="62"/>
      <c r="B7" s="207" t="s">
        <v>80</v>
      </c>
      <c r="C7" s="207" t="s">
        <v>80</v>
      </c>
      <c r="D7" s="202"/>
      <c r="E7" s="207"/>
      <c r="F7" s="39"/>
      <c r="G7" s="39"/>
    </row>
    <row r="8" spans="1:7" ht="41.1" customHeight="1">
      <c r="A8" s="62"/>
      <c r="B8" s="207"/>
      <c r="C8" s="146"/>
      <c r="D8" s="332" t="s">
        <v>573</v>
      </c>
      <c r="E8" s="208"/>
      <c r="F8" s="40"/>
      <c r="G8" s="40"/>
    </row>
    <row r="9" spans="1:7" ht="39.950000000000003" customHeight="1">
      <c r="A9" s="29">
        <v>1</v>
      </c>
      <c r="B9" s="207"/>
      <c r="C9" s="44" t="s">
        <v>389</v>
      </c>
      <c r="D9" s="158">
        <f>VLOOKUP(A9,PCH_PED_CADAVER_LIVER,9,FALSE)</f>
        <v>8698</v>
      </c>
      <c r="E9" s="208"/>
      <c r="F9" s="40"/>
      <c r="G9" s="167"/>
    </row>
    <row r="10" spans="1:7" ht="39.950000000000003" customHeight="1">
      <c r="A10" s="29">
        <v>2</v>
      </c>
      <c r="B10" s="207"/>
      <c r="C10" s="210" t="s">
        <v>391</v>
      </c>
      <c r="D10" s="158">
        <f>VLOOKUP(A10,PCH_PED_CADAVER_LIVER,9,FALSE)</f>
        <v>194268</v>
      </c>
      <c r="E10" s="207"/>
      <c r="F10" s="39"/>
      <c r="G10" s="39"/>
    </row>
    <row r="11" spans="1:7" ht="57.75" customHeight="1">
      <c r="A11" s="29">
        <v>3</v>
      </c>
      <c r="B11" s="207"/>
      <c r="C11" s="212" t="s">
        <v>392</v>
      </c>
      <c r="D11" s="158">
        <f>VLOOKUP(A11,PCH_PED_CADAVER_LIVER,9,FALSE)</f>
        <v>164380</v>
      </c>
      <c r="E11" s="207"/>
      <c r="F11" s="39"/>
      <c r="G11" s="39"/>
    </row>
    <row r="12" spans="1:7" ht="39.950000000000003" customHeight="1">
      <c r="A12" s="29">
        <v>4</v>
      </c>
      <c r="B12" s="207"/>
      <c r="C12" s="212" t="s">
        <v>393</v>
      </c>
      <c r="D12" s="158">
        <f>VLOOKUP(A12,PCH_PED_CADAVER_LIVER,9,FALSE)</f>
        <v>13367</v>
      </c>
      <c r="E12" s="207"/>
      <c r="F12" s="39"/>
      <c r="G12" s="39"/>
    </row>
    <row r="13" spans="1:7" ht="39.950000000000003" customHeight="1">
      <c r="A13" s="47"/>
      <c r="B13" s="207"/>
      <c r="C13" s="221" t="s">
        <v>574</v>
      </c>
      <c r="D13" s="222">
        <f>SUM(D9:D12)</f>
        <v>380713</v>
      </c>
      <c r="E13" s="207"/>
      <c r="F13" s="39"/>
      <c r="G13" s="39"/>
    </row>
    <row r="14" spans="1:7">
      <c r="A14" s="62"/>
      <c r="B14" s="207"/>
      <c r="C14" s="207"/>
      <c r="D14" s="224"/>
      <c r="E14" s="207"/>
      <c r="F14" s="39"/>
      <c r="G14" s="39"/>
    </row>
    <row r="15" spans="1:7" ht="46.5" customHeight="1">
      <c r="A15" s="29">
        <v>5</v>
      </c>
      <c r="B15" s="207"/>
      <c r="C15" s="216" t="s">
        <v>395</v>
      </c>
      <c r="D15" s="158">
        <f>VLOOKUP(A15,PCH_PED_CADAVER_LIVER,9,FALSE)</f>
        <v>2554</v>
      </c>
      <c r="E15" s="203"/>
      <c r="F15" s="30"/>
      <c r="G15" s="30"/>
    </row>
    <row r="16" spans="1:7" ht="49.5" customHeight="1">
      <c r="A16" s="29">
        <v>6</v>
      </c>
      <c r="B16" s="207"/>
      <c r="C16" s="52" t="s">
        <v>396</v>
      </c>
      <c r="D16" s="225">
        <f>VLOOKUP(A16,PCH_PED_CADAVER_LIVER,9,FALSE)</f>
        <v>8014.1928120000002</v>
      </c>
      <c r="E16" s="45"/>
      <c r="F16" s="45"/>
      <c r="G16" s="45"/>
    </row>
    <row r="17" spans="1:7" ht="24" customHeight="1">
      <c r="A17" s="62"/>
      <c r="B17" s="207"/>
      <c r="C17" s="207"/>
      <c r="D17" s="226"/>
      <c r="E17" s="207"/>
      <c r="F17" s="39"/>
      <c r="G17" s="39"/>
    </row>
    <row r="18" spans="1:7" ht="12.95">
      <c r="A18" s="62"/>
      <c r="B18" s="207"/>
      <c r="C18" s="218"/>
      <c r="D18" s="333" t="s">
        <v>409</v>
      </c>
      <c r="E18" s="207"/>
      <c r="F18" s="39"/>
      <c r="G18" s="39"/>
    </row>
    <row r="19" spans="1:7" ht="77.099999999999994" customHeight="1">
      <c r="A19" s="29">
        <v>7</v>
      </c>
      <c r="C19" s="228" t="s">
        <v>575</v>
      </c>
      <c r="D19" s="240">
        <f>VLOOKUP(A19,PCH_PED_CADAVER_LIVER,9,FALSE)</f>
        <v>1017929</v>
      </c>
    </row>
    <row r="20" spans="1:7" ht="44.45" customHeight="1">
      <c r="A20" s="29">
        <v>8</v>
      </c>
      <c r="C20" s="230" t="s">
        <v>411</v>
      </c>
      <c r="D20" s="181" t="str">
        <f>VLOOKUP(A20,PCH_PED_CADAVER_LIVER,9,FALSE)</f>
        <v>CCR</v>
      </c>
    </row>
    <row r="21" spans="1:7" ht="12.95">
      <c r="A21" s="62"/>
      <c r="C21" s="45"/>
      <c r="D21" s="227"/>
    </row>
    <row r="22" spans="1:7">
      <c r="A22" s="62"/>
    </row>
    <row r="23" spans="1:7" ht="51" customHeight="1">
      <c r="A23" s="62"/>
      <c r="B23" s="205"/>
      <c r="C23" s="567" t="s">
        <v>417</v>
      </c>
      <c r="D23" s="568"/>
      <c r="E23" s="568"/>
      <c r="F23" s="568"/>
      <c r="G23" s="569"/>
    </row>
    <row r="24" spans="1:7">
      <c r="A24" s="62"/>
    </row>
    <row r="25" spans="1:7" ht="29.45" customHeight="1">
      <c r="A25" s="62"/>
      <c r="C25" s="567" t="s">
        <v>452</v>
      </c>
      <c r="D25" s="568"/>
      <c r="E25" s="568"/>
      <c r="F25" s="568"/>
      <c r="G25" s="569"/>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gGtg0VhZkKNbFUQgjbYw63y0QYT0GgbJt7r8RMXHot2duKy3wKIrFXgNVAiqkXjgmYT69SJErt49Wy2jAVny8g==" saltValue="+arpCyPphzFfIrpp2x8ckA==" spinCount="100000" sheet="1" objects="1" scenarios="1"/>
  <mergeCells count="6">
    <mergeCell ref="C25:G25"/>
    <mergeCell ref="C23:G23"/>
    <mergeCell ref="B3:G3"/>
    <mergeCell ref="B4:G4"/>
    <mergeCell ref="B5:G5"/>
    <mergeCell ref="B6:G6"/>
  </mergeCells>
  <printOptions horizontalCentered="1"/>
  <pageMargins left="0.25" right="0.25" top="0.25" bottom="0.25" header="0.25" footer="0.25"/>
  <pageSetup scale="6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6">
    <tabColor theme="8"/>
    <pageSetUpPr fitToPage="1"/>
  </sheetPr>
  <dimension ref="A1:I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9.125" style="290" customWidth="1"/>
    <col min="4" max="4" width="21.125" style="290" bestFit="1" customWidth="1"/>
    <col min="5" max="5" width="8.875" style="290" customWidth="1"/>
    <col min="6" max="6" width="8.875" style="48" customWidth="1"/>
    <col min="7" max="7" width="28.87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ht="18" customHeight="1">
      <c r="A2" s="62"/>
    </row>
    <row r="3" spans="1:7" ht="19.899999999999999" customHeight="1">
      <c r="A3" s="62"/>
      <c r="B3" s="618" t="s">
        <v>576</v>
      </c>
      <c r="C3" s="618"/>
      <c r="D3" s="618"/>
      <c r="E3" s="618"/>
      <c r="F3" s="618"/>
      <c r="G3" s="618"/>
    </row>
    <row r="4" spans="1:7" ht="19.899999999999999" customHeight="1">
      <c r="A4" s="62"/>
      <c r="B4" s="618" t="s">
        <v>383</v>
      </c>
      <c r="C4" s="618"/>
      <c r="D4" s="618"/>
      <c r="E4" s="618"/>
      <c r="F4" s="618"/>
      <c r="G4" s="618"/>
    </row>
    <row r="5" spans="1:7" s="94" customFormat="1" ht="19.899999999999999" customHeight="1">
      <c r="A5" s="93"/>
      <c r="B5" s="619" t="s">
        <v>473</v>
      </c>
      <c r="C5" s="619"/>
      <c r="D5" s="619"/>
      <c r="E5" s="619"/>
      <c r="F5" s="619"/>
      <c r="G5" s="619"/>
    </row>
    <row r="6" spans="1:7" ht="19.899999999999999" customHeight="1">
      <c r="A6" s="62"/>
      <c r="B6" s="618" t="s">
        <v>577</v>
      </c>
      <c r="C6" s="618"/>
      <c r="D6" s="618"/>
      <c r="E6" s="618"/>
      <c r="F6" s="618"/>
      <c r="G6" s="618"/>
    </row>
    <row r="7" spans="1:7" ht="12.95">
      <c r="A7" s="62"/>
      <c r="B7" s="323"/>
      <c r="C7" s="323"/>
      <c r="D7" s="323"/>
      <c r="E7" s="323"/>
      <c r="F7" s="100"/>
      <c r="G7" s="100"/>
    </row>
    <row r="8" spans="1:7" ht="18.75" customHeight="1">
      <c r="A8" s="62"/>
      <c r="B8" s="292"/>
      <c r="C8" s="324"/>
      <c r="D8" s="323" t="s">
        <v>386</v>
      </c>
      <c r="E8" s="323"/>
      <c r="F8" s="100"/>
      <c r="G8" s="100"/>
    </row>
    <row r="9" spans="1:7" s="39" customFormat="1" ht="15.95" customHeight="1">
      <c r="A9" s="47"/>
      <c r="B9" s="292"/>
      <c r="C9" s="325" t="s">
        <v>387</v>
      </c>
      <c r="D9" s="325" t="s">
        <v>388</v>
      </c>
      <c r="E9" s="323"/>
      <c r="F9" s="100"/>
      <c r="G9" s="171"/>
    </row>
    <row r="10" spans="1:7" s="39" customFormat="1" ht="46.5" customHeight="1">
      <c r="A10" s="29">
        <v>1</v>
      </c>
      <c r="B10" s="292"/>
      <c r="C10" s="44" t="s">
        <v>389</v>
      </c>
      <c r="D10" s="158">
        <f>VLOOKUP(A10,SCH_SHEA_BMT_AUTO,9,FALSE)</f>
        <v>6509</v>
      </c>
      <c r="E10" s="323"/>
      <c r="F10" s="100"/>
      <c r="G10" s="100"/>
    </row>
    <row r="11" spans="1:7" s="39" customFormat="1" ht="39.950000000000003" customHeight="1">
      <c r="A11" s="29">
        <v>2</v>
      </c>
      <c r="B11" s="292"/>
      <c r="C11" s="326" t="s">
        <v>390</v>
      </c>
      <c r="D11" s="158">
        <f>VLOOKUP(A11,SCH_SHEA_BMT_AUTO,9,FALSE)</f>
        <v>16110</v>
      </c>
      <c r="E11" s="327"/>
      <c r="F11" s="82"/>
      <c r="G11" s="82"/>
    </row>
    <row r="12" spans="1:7" s="39" customFormat="1" ht="39.950000000000003" customHeight="1">
      <c r="A12" s="29">
        <v>3</v>
      </c>
      <c r="B12" s="292"/>
      <c r="C12" s="326" t="s">
        <v>391</v>
      </c>
      <c r="D12" s="158">
        <f>VLOOKUP(A12,SCH_SHEA_BMT_AUTO,9,FALSE)</f>
        <v>120816</v>
      </c>
      <c r="E12" s="327"/>
      <c r="F12" s="82"/>
      <c r="G12" s="82"/>
    </row>
    <row r="13" spans="1:7" s="39" customFormat="1" ht="39.950000000000003" customHeight="1">
      <c r="A13" s="29">
        <v>4</v>
      </c>
      <c r="B13" s="292"/>
      <c r="C13" s="328" t="s">
        <v>392</v>
      </c>
      <c r="D13" s="158">
        <f>VLOOKUP(A13,SCH_SHEA_BMT_AUTO,9,FALSE)</f>
        <v>30607</v>
      </c>
      <c r="E13" s="327"/>
      <c r="F13" s="82"/>
      <c r="G13" s="82"/>
    </row>
    <row r="14" spans="1:7" s="39" customFormat="1" ht="39.950000000000003" customHeight="1">
      <c r="A14" s="29">
        <v>5</v>
      </c>
      <c r="B14" s="292"/>
      <c r="C14" s="328" t="s">
        <v>393</v>
      </c>
      <c r="D14" s="158">
        <f>VLOOKUP(A14,SCH_SHEA_BMT_AUTO,9,FALSE)</f>
        <v>11277</v>
      </c>
      <c r="E14" s="327"/>
      <c r="F14" s="82"/>
      <c r="G14" s="82"/>
    </row>
    <row r="15" spans="1:7" s="39" customFormat="1" ht="39.950000000000003" customHeight="1">
      <c r="A15" s="62"/>
      <c r="B15" s="292"/>
      <c r="C15" s="329" t="s">
        <v>578</v>
      </c>
      <c r="D15" s="330">
        <f>SUM(D10:D14)</f>
        <v>185319</v>
      </c>
      <c r="E15" s="292"/>
      <c r="F15" s="82"/>
      <c r="G15" s="82"/>
    </row>
    <row r="16" spans="1:7">
      <c r="A16" s="62"/>
      <c r="B16" s="292"/>
      <c r="C16" s="292"/>
      <c r="D16" s="331"/>
      <c r="E16" s="292"/>
      <c r="F16" s="82"/>
      <c r="G16" s="82"/>
    </row>
    <row r="17" spans="1:9" ht="49.5" customHeight="1">
      <c r="A17" s="29">
        <v>6</v>
      </c>
      <c r="B17" s="292"/>
      <c r="C17" s="216" t="s">
        <v>395</v>
      </c>
      <c r="D17" s="158">
        <f>VLOOKUP(A17,SCH_SHEA_BMT_AUTO,9,FALSE)</f>
        <v>2554</v>
      </c>
      <c r="E17" s="203"/>
      <c r="F17" s="30"/>
      <c r="G17" s="30"/>
    </row>
    <row r="18" spans="1:9" ht="50.45" customHeight="1">
      <c r="A18" s="29">
        <v>7</v>
      </c>
      <c r="B18" s="292"/>
      <c r="C18" s="52" t="s">
        <v>396</v>
      </c>
      <c r="D18" s="225">
        <f>VLOOKUP(A18,SCH_SHEA_BMT_AUTO,9,FALSE)</f>
        <v>8014.1928120000002</v>
      </c>
      <c r="E18" s="45"/>
      <c r="F18" s="45"/>
      <c r="G18" s="45"/>
    </row>
    <row r="19" spans="1:9" ht="27" customHeight="1">
      <c r="A19" s="62"/>
      <c r="C19" s="207"/>
      <c r="D19" s="293"/>
    </row>
    <row r="20" spans="1:9" ht="51.75" customHeight="1">
      <c r="A20" s="62"/>
      <c r="B20" s="292"/>
      <c r="C20" s="567" t="s">
        <v>417</v>
      </c>
      <c r="D20" s="568"/>
      <c r="E20" s="568"/>
      <c r="F20" s="568"/>
      <c r="G20" s="569"/>
    </row>
    <row r="21" spans="1:9" ht="15.6">
      <c r="A21" s="29"/>
    </row>
    <row r="22" spans="1:9" s="39" customFormat="1" ht="36.75" customHeight="1">
      <c r="A22" s="47"/>
      <c r="B22" s="207"/>
      <c r="C22" s="567" t="s">
        <v>398</v>
      </c>
      <c r="D22" s="568"/>
      <c r="E22" s="568"/>
      <c r="F22" s="568"/>
      <c r="G22" s="569"/>
      <c r="H22" s="48"/>
      <c r="I22" s="48"/>
    </row>
    <row r="23" spans="1:9">
      <c r="A23" s="62"/>
    </row>
    <row r="24" spans="1:9">
      <c r="A24" s="62"/>
    </row>
    <row r="25" spans="1:9">
      <c r="A25" s="62"/>
    </row>
    <row r="26" spans="1:9">
      <c r="A26" s="62"/>
    </row>
    <row r="27" spans="1:9">
      <c r="A27" s="62"/>
    </row>
    <row r="28" spans="1:9">
      <c r="A28" s="62"/>
    </row>
    <row r="29" spans="1:9">
      <c r="A29" s="62"/>
    </row>
    <row r="30" spans="1:9">
      <c r="A30" s="62"/>
    </row>
    <row r="31" spans="1:9">
      <c r="A31" s="62"/>
    </row>
    <row r="32" spans="1:9">
      <c r="A32" s="62"/>
    </row>
    <row r="33" spans="1:1">
      <c r="A33" s="62"/>
    </row>
    <row r="34" spans="1:1">
      <c r="A34" s="62"/>
    </row>
    <row r="35" spans="1:1">
      <c r="A35" s="62"/>
    </row>
  </sheetData>
  <sheetProtection algorithmName="SHA-512" hashValue="ZaemmzbwJXq/l8tRh616DQoeoakCg50W9gFt5GHVlJVpcMJQ9PMhc9t4JYtrQPCHCrLBxSdEXjPVqz+KZeBAcg==" saltValue="QM/XMHS5pzFtxbc1tc65RA==" spinCount="100000" sheet="1" objects="1" scenarios="1"/>
  <mergeCells count="6">
    <mergeCell ref="C22:G22"/>
    <mergeCell ref="C20:G20"/>
    <mergeCell ref="B3:G3"/>
    <mergeCell ref="B4:G4"/>
    <mergeCell ref="B5:G5"/>
    <mergeCell ref="B6:G6"/>
  </mergeCells>
  <printOptions horizontalCentered="1"/>
  <pageMargins left="0.25" right="0.25" top="0.25" bottom="0.25" header="0.25" footer="0.25"/>
  <pageSetup scale="76"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97">
    <tabColor theme="8"/>
    <pageSetUpPr fitToPage="1"/>
  </sheetPr>
  <dimension ref="A1:I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71.5" style="290" customWidth="1"/>
    <col min="4" max="4" width="17.5" style="290" customWidth="1"/>
    <col min="5" max="5" width="8.875" style="290" customWidth="1"/>
    <col min="6" max="6" width="8.875" style="48" customWidth="1"/>
    <col min="7" max="7" width="21.37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row>
    <row r="3" spans="1:7" s="33" customFormat="1" ht="19.899999999999999" customHeight="1">
      <c r="A3" s="31"/>
      <c r="B3" s="618" t="s">
        <v>576</v>
      </c>
      <c r="C3" s="618"/>
      <c r="D3" s="618"/>
      <c r="E3" s="618"/>
      <c r="F3" s="618"/>
      <c r="G3" s="618"/>
    </row>
    <row r="4" spans="1:7" s="33" customFormat="1" ht="19.899999999999999" customHeight="1">
      <c r="A4" s="31"/>
      <c r="B4" s="618" t="s">
        <v>400</v>
      </c>
      <c r="C4" s="618"/>
      <c r="D4" s="618"/>
      <c r="E4" s="618"/>
      <c r="F4" s="618"/>
      <c r="G4" s="618"/>
    </row>
    <row r="5" spans="1:7" s="33" customFormat="1" ht="19.899999999999999" customHeight="1">
      <c r="A5" s="31"/>
      <c r="B5" s="619" t="s">
        <v>473</v>
      </c>
      <c r="C5" s="619"/>
      <c r="D5" s="619"/>
      <c r="E5" s="619"/>
      <c r="F5" s="619"/>
      <c r="G5" s="619"/>
    </row>
    <row r="6" spans="1:7" s="33" customFormat="1" ht="19.899999999999999" customHeight="1">
      <c r="A6" s="31"/>
      <c r="B6" s="618" t="s">
        <v>577</v>
      </c>
      <c r="C6" s="618"/>
      <c r="D6" s="618"/>
      <c r="E6" s="618"/>
      <c r="F6" s="618"/>
      <c r="G6" s="618"/>
    </row>
    <row r="7" spans="1:7" ht="19.899999999999999" customHeight="1">
      <c r="A7" s="62"/>
      <c r="B7" s="321"/>
      <c r="C7" s="321"/>
      <c r="D7" s="321"/>
      <c r="E7" s="321"/>
      <c r="F7" s="97"/>
      <c r="G7" s="97"/>
    </row>
    <row r="8" spans="1:7" ht="17.25" customHeight="1">
      <c r="A8" s="62"/>
      <c r="B8" s="308"/>
      <c r="C8" s="309"/>
      <c r="D8" s="307" t="s">
        <v>386</v>
      </c>
      <c r="E8" s="307"/>
      <c r="F8" s="95"/>
      <c r="G8" s="95"/>
    </row>
    <row r="9" spans="1:7" s="39" customFormat="1" ht="35.1" customHeight="1">
      <c r="A9" s="47"/>
      <c r="B9" s="308"/>
      <c r="C9" s="310" t="s">
        <v>387</v>
      </c>
      <c r="D9" s="310" t="s">
        <v>388</v>
      </c>
      <c r="E9" s="307"/>
      <c r="F9" s="95"/>
      <c r="G9" s="170"/>
    </row>
    <row r="10" spans="1:7" s="39" customFormat="1" ht="45" customHeight="1">
      <c r="A10" s="29">
        <v>1</v>
      </c>
      <c r="B10" s="308"/>
      <c r="C10" s="44" t="s">
        <v>389</v>
      </c>
      <c r="D10" s="158">
        <f t="shared" ref="D10:D15" si="0">VLOOKUP(A10,SCH_SHEA_BMT_ALLO_REL,9,FALSE)</f>
        <v>6554</v>
      </c>
      <c r="E10" s="307"/>
      <c r="F10" s="95"/>
      <c r="G10" s="95"/>
    </row>
    <row r="11" spans="1:7" s="39" customFormat="1" ht="35.1" customHeight="1">
      <c r="A11" s="29">
        <v>2</v>
      </c>
      <c r="B11" s="308"/>
      <c r="C11" s="219" t="s">
        <v>519</v>
      </c>
      <c r="D11" s="158">
        <f t="shared" si="0"/>
        <v>7524</v>
      </c>
      <c r="E11" s="312"/>
      <c r="F11" s="96"/>
      <c r="G11" s="96"/>
    </row>
    <row r="12" spans="1:7" s="39" customFormat="1" ht="35.1" customHeight="1">
      <c r="A12" s="29">
        <v>3</v>
      </c>
      <c r="B12" s="308"/>
      <c r="C12" s="313" t="s">
        <v>579</v>
      </c>
      <c r="D12" s="158">
        <f t="shared" si="0"/>
        <v>21712</v>
      </c>
      <c r="E12" s="312"/>
      <c r="F12" s="96"/>
      <c r="G12" s="96"/>
    </row>
    <row r="13" spans="1:7" s="39" customFormat="1" ht="35.1" customHeight="1">
      <c r="A13" s="29">
        <v>4</v>
      </c>
      <c r="B13" s="308"/>
      <c r="C13" s="311" t="s">
        <v>391</v>
      </c>
      <c r="D13" s="158">
        <f t="shared" si="0"/>
        <v>114485</v>
      </c>
      <c r="E13" s="312"/>
      <c r="F13" s="96"/>
      <c r="G13" s="96"/>
    </row>
    <row r="14" spans="1:7" s="39" customFormat="1" ht="35.1" customHeight="1">
      <c r="A14" s="29">
        <v>5</v>
      </c>
      <c r="B14" s="308"/>
      <c r="C14" s="314" t="s">
        <v>392</v>
      </c>
      <c r="D14" s="158">
        <f t="shared" si="0"/>
        <v>40887</v>
      </c>
      <c r="E14" s="312"/>
      <c r="F14" s="96"/>
      <c r="G14" s="96"/>
    </row>
    <row r="15" spans="1:7" s="39" customFormat="1" ht="35.1" customHeight="1">
      <c r="A15" s="29">
        <v>6</v>
      </c>
      <c r="B15" s="308"/>
      <c r="C15" s="314" t="s">
        <v>393</v>
      </c>
      <c r="D15" s="158">
        <f t="shared" si="0"/>
        <v>16356</v>
      </c>
      <c r="E15" s="312"/>
      <c r="F15" s="96"/>
      <c r="G15" s="96"/>
    </row>
    <row r="16" spans="1:7" s="99" customFormat="1" ht="35.1" customHeight="1">
      <c r="A16" s="62"/>
      <c r="B16" s="308"/>
      <c r="C16" s="315" t="s">
        <v>580</v>
      </c>
      <c r="D16" s="316">
        <f>SUM(D10:D15)</f>
        <v>207518</v>
      </c>
      <c r="E16" s="322"/>
      <c r="F16" s="98"/>
      <c r="G16" s="98"/>
    </row>
    <row r="17" spans="1:9">
      <c r="A17" s="62"/>
      <c r="B17" s="207"/>
      <c r="C17" s="207"/>
      <c r="D17" s="239"/>
    </row>
    <row r="18" spans="1:9" ht="49.5" customHeight="1">
      <c r="A18" s="29">
        <v>7</v>
      </c>
      <c r="B18" s="292"/>
      <c r="C18" s="216" t="s">
        <v>395</v>
      </c>
      <c r="D18" s="158">
        <f>VLOOKUP(A18,SCH_SHEA_BMT_ALLO_REL,9,FALSE)</f>
        <v>2554</v>
      </c>
      <c r="E18" s="203"/>
      <c r="F18" s="30"/>
      <c r="G18" s="30"/>
    </row>
    <row r="19" spans="1:9" ht="50.45" customHeight="1">
      <c r="A19" s="29">
        <v>8</v>
      </c>
      <c r="B19" s="292"/>
      <c r="C19" s="52" t="s">
        <v>396</v>
      </c>
      <c r="D19" s="225">
        <f>VLOOKUP(A19,SCH_SHEA_BMT_ALLO_REL,9,FALSE)</f>
        <v>8014.1928120000002</v>
      </c>
      <c r="E19" s="45"/>
      <c r="F19" s="45"/>
      <c r="G19" s="45"/>
    </row>
    <row r="20" spans="1:9" ht="24" customHeight="1">
      <c r="A20" s="62"/>
      <c r="B20" s="207"/>
      <c r="C20" s="207"/>
      <c r="D20" s="293"/>
    </row>
    <row r="21" spans="1:9" ht="72" customHeight="1">
      <c r="A21" s="62"/>
      <c r="B21" s="308"/>
      <c r="C21" s="567" t="s">
        <v>581</v>
      </c>
      <c r="D21" s="568"/>
      <c r="E21" s="568"/>
      <c r="F21" s="568"/>
      <c r="G21" s="569"/>
    </row>
    <row r="22" spans="1:9">
      <c r="A22" s="62"/>
    </row>
    <row r="23" spans="1:9" s="39" customFormat="1" ht="36.75" customHeight="1">
      <c r="A23" s="47"/>
      <c r="B23" s="207"/>
      <c r="C23" s="567" t="s">
        <v>398</v>
      </c>
      <c r="D23" s="568"/>
      <c r="E23" s="568"/>
      <c r="F23" s="568"/>
      <c r="G23" s="569"/>
      <c r="H23" s="48"/>
      <c r="I23" s="48"/>
    </row>
    <row r="24" spans="1:9" ht="12" customHeight="1">
      <c r="A24" s="62"/>
      <c r="C24" s="612"/>
      <c r="D24" s="612"/>
      <c r="E24" s="612"/>
      <c r="F24" s="612"/>
      <c r="G24" s="612"/>
    </row>
    <row r="25" spans="1:9" ht="6.6" customHeight="1">
      <c r="A25" s="62"/>
      <c r="C25" s="588"/>
      <c r="D25" s="588"/>
      <c r="E25" s="588"/>
      <c r="F25" s="588"/>
      <c r="G25" s="588"/>
    </row>
    <row r="26" spans="1:9">
      <c r="A26" s="62"/>
    </row>
    <row r="27" spans="1:9">
      <c r="A27" s="62"/>
    </row>
    <row r="28" spans="1:9">
      <c r="A28" s="62"/>
    </row>
    <row r="29" spans="1:9">
      <c r="A29" s="62"/>
    </row>
    <row r="30" spans="1:9">
      <c r="A30" s="62"/>
    </row>
    <row r="31" spans="1:9">
      <c r="A31" s="62"/>
    </row>
    <row r="32" spans="1:9">
      <c r="A32" s="62"/>
    </row>
    <row r="33" spans="1:1">
      <c r="A33" s="62"/>
    </row>
    <row r="34" spans="1:1">
      <c r="A34" s="62"/>
    </row>
    <row r="35" spans="1:1">
      <c r="A35" s="62"/>
    </row>
  </sheetData>
  <sheetProtection algorithmName="SHA-512" hashValue="n6WjapPRSL1W4V5eTLOKpuTxIaO3b9f5c4YYsYJ2GnAnam3CLNGI9i6jMA4nIwES9wmekbebjhwMpVtdlwJaRw==" saltValue="2yRu/d0SG6ZCBqqeNN8gLw==" spinCount="100000" sheet="1" objects="1" scenarios="1"/>
  <mergeCells count="8">
    <mergeCell ref="C23:G23"/>
    <mergeCell ref="C24:G24"/>
    <mergeCell ref="C25:G25"/>
    <mergeCell ref="C21:G21"/>
    <mergeCell ref="B3:G3"/>
    <mergeCell ref="B4:G4"/>
    <mergeCell ref="B5:G5"/>
    <mergeCell ref="B6:G6"/>
  </mergeCells>
  <printOptions horizontalCentered="1"/>
  <pageMargins left="0.25" right="0.25" top="0.25" bottom="0.25" header="0.25" footer="0.25"/>
  <pageSetup scale="74"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8">
    <tabColor theme="8"/>
    <pageSetUpPr fitToPage="1"/>
  </sheetPr>
  <dimension ref="A1:J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4" style="290" customWidth="1"/>
    <col min="4" max="4" width="25.125" style="290" customWidth="1"/>
    <col min="5" max="5" width="8.875" style="290" customWidth="1"/>
    <col min="6" max="6" width="8.875" style="48" customWidth="1"/>
    <col min="7" max="7" width="24.25" style="48" customWidth="1"/>
    <col min="8" max="16384" width="9" style="48"/>
  </cols>
  <sheetData>
    <row r="1" spans="1:10" s="491" customFormat="1" ht="20.100000000000001" hidden="1" customHeight="1">
      <c r="A1" s="481" t="e" cm="1">
        <f t="array" aca="1" ref="A1" ca="1">MID(CELL("filename",A1),FIND("]",CELL("filename",A1))+1,255)</f>
        <v>#VALUE!</v>
      </c>
      <c r="B1" s="490"/>
      <c r="C1" s="29">
        <v>3</v>
      </c>
      <c r="D1" s="29">
        <v>4</v>
      </c>
    </row>
    <row r="2" spans="1:10">
      <c r="A2" s="62"/>
    </row>
    <row r="3" spans="1:10" ht="19.899999999999999" customHeight="1">
      <c r="A3" s="62"/>
      <c r="B3" s="618" t="s">
        <v>576</v>
      </c>
      <c r="C3" s="618"/>
      <c r="D3" s="618"/>
      <c r="E3" s="618"/>
      <c r="F3" s="618"/>
      <c r="G3" s="618"/>
    </row>
    <row r="4" spans="1:10" ht="19.899999999999999" customHeight="1">
      <c r="A4" s="62"/>
      <c r="B4" s="570" t="s">
        <v>405</v>
      </c>
      <c r="C4" s="570"/>
      <c r="D4" s="570"/>
      <c r="E4" s="570"/>
      <c r="F4" s="570"/>
      <c r="G4" s="570"/>
    </row>
    <row r="5" spans="1:10" s="94" customFormat="1" ht="19.899999999999999" customHeight="1">
      <c r="A5" s="93"/>
      <c r="B5" s="619" t="s">
        <v>473</v>
      </c>
      <c r="C5" s="619"/>
      <c r="D5" s="619"/>
      <c r="E5" s="619"/>
      <c r="F5" s="619"/>
      <c r="G5" s="619"/>
    </row>
    <row r="6" spans="1:10" ht="19.899999999999999" customHeight="1">
      <c r="A6" s="62"/>
      <c r="B6" s="618" t="s">
        <v>577</v>
      </c>
      <c r="C6" s="618"/>
      <c r="D6" s="618"/>
      <c r="E6" s="618"/>
      <c r="F6" s="618"/>
      <c r="G6" s="618"/>
    </row>
    <row r="7" spans="1:10" ht="12.95">
      <c r="A7" s="62"/>
      <c r="B7" s="308"/>
      <c r="C7" s="308"/>
      <c r="D7" s="307"/>
      <c r="E7" s="308"/>
      <c r="F7" s="96"/>
      <c r="G7" s="96"/>
    </row>
    <row r="8" spans="1:10" ht="35.1" customHeight="1">
      <c r="A8" s="62"/>
      <c r="B8" s="308"/>
      <c r="C8" s="309"/>
      <c r="D8" s="307" t="s">
        <v>386</v>
      </c>
      <c r="E8" s="307"/>
      <c r="F8" s="95"/>
      <c r="G8" s="95"/>
    </row>
    <row r="9" spans="1:10" s="39" customFormat="1" ht="42" customHeight="1">
      <c r="A9" s="47"/>
      <c r="B9" s="308"/>
      <c r="C9" s="310" t="s">
        <v>387</v>
      </c>
      <c r="D9" s="310" t="s">
        <v>388</v>
      </c>
      <c r="E9" s="307"/>
      <c r="F9" s="95"/>
      <c r="G9" s="170"/>
    </row>
    <row r="10" spans="1:10" s="39" customFormat="1" ht="48" customHeight="1">
      <c r="A10" s="29">
        <v>1</v>
      </c>
      <c r="B10" s="308"/>
      <c r="C10" s="44" t="s">
        <v>389</v>
      </c>
      <c r="D10" s="185">
        <f t="shared" ref="D10:D15" si="0">VLOOKUP(A10,SCH_SHEA_HAPLOID_BMT,9,FALSE)</f>
        <v>6652</v>
      </c>
      <c r="E10" s="307"/>
      <c r="F10" s="95"/>
      <c r="G10" s="95"/>
    </row>
    <row r="11" spans="1:10" s="39" customFormat="1" ht="32.25" customHeight="1">
      <c r="A11" s="29">
        <v>2</v>
      </c>
      <c r="B11" s="308"/>
      <c r="C11" s="219" t="s">
        <v>454</v>
      </c>
      <c r="D11" s="185">
        <f t="shared" si="0"/>
        <v>8273</v>
      </c>
      <c r="E11" s="312"/>
      <c r="F11" s="96"/>
      <c r="G11" s="96"/>
      <c r="J11" s="96"/>
    </row>
    <row r="12" spans="1:10" s="39" customFormat="1" ht="34.5" customHeight="1">
      <c r="A12" s="29">
        <v>3</v>
      </c>
      <c r="B12" s="308"/>
      <c r="C12" s="209" t="s">
        <v>407</v>
      </c>
      <c r="D12" s="185">
        <f t="shared" si="0"/>
        <v>21712</v>
      </c>
      <c r="E12" s="312"/>
      <c r="F12" s="96"/>
      <c r="G12" s="96"/>
    </row>
    <row r="13" spans="1:10" s="39" customFormat="1" ht="34.5" customHeight="1">
      <c r="A13" s="29">
        <v>4</v>
      </c>
      <c r="B13" s="308"/>
      <c r="C13" s="318" t="s">
        <v>391</v>
      </c>
      <c r="D13" s="185">
        <f t="shared" si="0"/>
        <v>123281</v>
      </c>
      <c r="E13" s="312"/>
      <c r="F13" s="96"/>
      <c r="G13" s="96"/>
    </row>
    <row r="14" spans="1:10" s="39" customFormat="1" ht="37.9" customHeight="1">
      <c r="A14" s="29">
        <v>5</v>
      </c>
      <c r="B14" s="308"/>
      <c r="C14" s="314" t="s">
        <v>392</v>
      </c>
      <c r="D14" s="185">
        <f t="shared" si="0"/>
        <v>45122</v>
      </c>
      <c r="E14" s="312"/>
      <c r="F14" s="96"/>
      <c r="G14" s="96"/>
    </row>
    <row r="15" spans="1:10" s="39" customFormat="1" ht="39.75" customHeight="1">
      <c r="A15" s="29">
        <v>6</v>
      </c>
      <c r="B15" s="308"/>
      <c r="C15" s="314" t="s">
        <v>393</v>
      </c>
      <c r="D15" s="185">
        <f t="shared" si="0"/>
        <v>30084</v>
      </c>
      <c r="E15" s="312"/>
      <c r="F15" s="96"/>
      <c r="G15" s="96"/>
    </row>
    <row r="16" spans="1:10" s="39" customFormat="1" ht="33.950000000000003" customHeight="1">
      <c r="A16" s="62"/>
      <c r="B16" s="308"/>
      <c r="C16" s="315" t="s">
        <v>582</v>
      </c>
      <c r="D16" s="319">
        <f>SUM(D10:D15)</f>
        <v>235124</v>
      </c>
      <c r="E16" s="308"/>
      <c r="F16" s="96"/>
      <c r="G16" s="96"/>
    </row>
    <row r="17" spans="1:9" s="39" customFormat="1">
      <c r="A17" s="62"/>
      <c r="B17" s="308"/>
      <c r="C17" s="308"/>
      <c r="D17" s="320"/>
      <c r="E17" s="308"/>
      <c r="F17" s="96"/>
      <c r="G17" s="96"/>
    </row>
    <row r="18" spans="1:9" s="39" customFormat="1" ht="48.6" customHeight="1">
      <c r="A18" s="29">
        <v>7</v>
      </c>
      <c r="B18" s="207"/>
      <c r="C18" s="216" t="s">
        <v>395</v>
      </c>
      <c r="D18" s="185">
        <f>VLOOKUP(A18,SCH_SHEA_HAPLOID_BMT,9,FALSE)</f>
        <v>2554</v>
      </c>
      <c r="E18" s="203"/>
      <c r="F18" s="30"/>
      <c r="G18" s="30"/>
    </row>
    <row r="19" spans="1:9" ht="50.45" customHeight="1">
      <c r="A19" s="29">
        <v>8</v>
      </c>
      <c r="B19" s="292"/>
      <c r="C19" s="52" t="s">
        <v>396</v>
      </c>
      <c r="D19" s="225">
        <f>VLOOKUP(A19,SCH_SHEA_HAPLOID_BMT,9,FALSE)</f>
        <v>8014.1928120000002</v>
      </c>
      <c r="E19" s="45"/>
      <c r="F19" s="45"/>
      <c r="G19" s="45"/>
    </row>
    <row r="20" spans="1:9" s="39" customFormat="1" ht="18.600000000000001" customHeight="1">
      <c r="A20" s="47"/>
      <c r="B20" s="207"/>
      <c r="C20" s="207"/>
      <c r="D20" s="293"/>
      <c r="E20" s="207"/>
    </row>
    <row r="21" spans="1:9" ht="66" customHeight="1">
      <c r="A21" s="62"/>
      <c r="B21" s="308"/>
      <c r="C21" s="567" t="s">
        <v>581</v>
      </c>
      <c r="D21" s="568"/>
      <c r="E21" s="568"/>
      <c r="F21" s="568"/>
      <c r="G21" s="569"/>
    </row>
    <row r="22" spans="1:9">
      <c r="A22" s="62"/>
    </row>
    <row r="23" spans="1:9" s="39" customFormat="1" ht="36.75" customHeight="1">
      <c r="A23" s="47"/>
      <c r="B23" s="207"/>
      <c r="C23" s="567" t="s">
        <v>398</v>
      </c>
      <c r="D23" s="568"/>
      <c r="E23" s="568"/>
      <c r="F23" s="568"/>
      <c r="G23" s="569"/>
      <c r="H23" s="48"/>
      <c r="I23" s="48"/>
    </row>
    <row r="24" spans="1:9" ht="12.6" customHeight="1">
      <c r="A24" s="62"/>
      <c r="C24" s="612"/>
      <c r="D24" s="612"/>
      <c r="E24" s="612"/>
      <c r="F24" s="612"/>
      <c r="G24" s="612"/>
    </row>
    <row r="25" spans="1:9">
      <c r="A25" s="62"/>
    </row>
    <row r="26" spans="1:9">
      <c r="A26" s="62"/>
    </row>
    <row r="27" spans="1:9">
      <c r="A27" s="62"/>
    </row>
    <row r="28" spans="1:9">
      <c r="A28" s="62"/>
    </row>
    <row r="29" spans="1:9">
      <c r="A29" s="62"/>
    </row>
    <row r="30" spans="1:9">
      <c r="A30" s="62"/>
    </row>
    <row r="31" spans="1:9">
      <c r="A31" s="62"/>
    </row>
    <row r="32" spans="1:9">
      <c r="A32" s="62"/>
    </row>
    <row r="33" spans="1:1">
      <c r="A33" s="62"/>
    </row>
    <row r="34" spans="1:1">
      <c r="A34" s="62"/>
    </row>
    <row r="35" spans="1:1">
      <c r="A35" s="62"/>
    </row>
  </sheetData>
  <sheetProtection algorithmName="SHA-512" hashValue="iLjZ3wn7k0Bd6ANAVfN2jDJU1IGT2FTTWCrVtgJPs2wNRK7trRAcXamR1qV2N9/gYsMRVze+DhRadRTTzapg4Q==" saltValue="oc+vhRH3IGR2048qCVsDag==" spinCount="100000" sheet="1" objects="1" scenarios="1"/>
  <mergeCells count="7">
    <mergeCell ref="C24:G24"/>
    <mergeCell ref="C21:G21"/>
    <mergeCell ref="B3:G3"/>
    <mergeCell ref="B4:G4"/>
    <mergeCell ref="B5:G5"/>
    <mergeCell ref="B6:G6"/>
    <mergeCell ref="C23:G23"/>
  </mergeCells>
  <printOptions horizontalCentered="1"/>
  <pageMargins left="0.25" right="0.25" top="0.25" bottom="0.25" header="0.25" footer="0.25"/>
  <pageSetup scale="72"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9">
    <tabColor theme="8"/>
    <pageSetUpPr fitToPage="1"/>
  </sheetPr>
  <dimension ref="A1:M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4" style="290" customWidth="1"/>
    <col min="4" max="4" width="31.125" style="290" customWidth="1"/>
    <col min="5" max="5" width="8.875" style="290" customWidth="1"/>
    <col min="6" max="6" width="8.875" style="48" customWidth="1"/>
    <col min="7" max="7" width="24.25" style="48" customWidth="1"/>
    <col min="8" max="8" width="8.875" style="48" customWidth="1"/>
    <col min="9" max="16384" width="9" style="48"/>
  </cols>
  <sheetData>
    <row r="1" spans="1:13" s="491" customFormat="1" ht="20.100000000000001" hidden="1" customHeight="1">
      <c r="A1" s="481" t="e" cm="1">
        <f t="array" aca="1" ref="A1" ca="1">MID(CELL("filename",A1),FIND("]",CELL("filename",A1))+1,255)</f>
        <v>#VALUE!</v>
      </c>
      <c r="B1" s="490"/>
      <c r="C1" s="29">
        <v>3</v>
      </c>
      <c r="D1" s="29">
        <v>4</v>
      </c>
    </row>
    <row r="2" spans="1:13">
      <c r="A2" s="62"/>
    </row>
    <row r="3" spans="1:13" ht="19.899999999999999" customHeight="1">
      <c r="A3" s="62"/>
      <c r="B3" s="618" t="s">
        <v>576</v>
      </c>
      <c r="C3" s="618"/>
      <c r="D3" s="618"/>
      <c r="E3" s="618"/>
      <c r="F3" s="618"/>
      <c r="G3" s="618"/>
    </row>
    <row r="4" spans="1:13" ht="19.899999999999999" customHeight="1">
      <c r="A4" s="62"/>
      <c r="B4" s="618" t="s">
        <v>412</v>
      </c>
      <c r="C4" s="618"/>
      <c r="D4" s="618"/>
      <c r="E4" s="618"/>
      <c r="F4" s="618"/>
      <c r="G4" s="618"/>
    </row>
    <row r="5" spans="1:13" s="94" customFormat="1" ht="19.899999999999999" customHeight="1">
      <c r="A5" s="93"/>
      <c r="B5" s="619" t="s">
        <v>473</v>
      </c>
      <c r="C5" s="619"/>
      <c r="D5" s="619"/>
      <c r="E5" s="619"/>
      <c r="F5" s="619"/>
      <c r="G5" s="619"/>
    </row>
    <row r="6" spans="1:13" ht="19.899999999999999" customHeight="1">
      <c r="A6" s="62"/>
      <c r="B6" s="618" t="s">
        <v>577</v>
      </c>
      <c r="C6" s="618"/>
      <c r="D6" s="618"/>
      <c r="E6" s="618"/>
      <c r="F6" s="618"/>
      <c r="G6" s="618"/>
    </row>
    <row r="7" spans="1:13" ht="11.25" customHeight="1">
      <c r="A7" s="62"/>
      <c r="B7" s="307"/>
      <c r="C7" s="307"/>
      <c r="D7" s="307"/>
      <c r="E7" s="307"/>
      <c r="F7" s="95"/>
      <c r="G7" s="95"/>
    </row>
    <row r="8" spans="1:13" ht="15.75" customHeight="1">
      <c r="A8" s="62"/>
      <c r="B8" s="308"/>
      <c r="C8" s="309"/>
      <c r="D8" s="307" t="s">
        <v>386</v>
      </c>
      <c r="E8" s="307"/>
      <c r="F8" s="95"/>
      <c r="G8" s="95"/>
    </row>
    <row r="9" spans="1:13" s="39" customFormat="1" ht="35.1" customHeight="1">
      <c r="A9" s="47"/>
      <c r="B9" s="308"/>
      <c r="C9" s="310" t="s">
        <v>387</v>
      </c>
      <c r="D9" s="310" t="s">
        <v>388</v>
      </c>
      <c r="E9" s="307"/>
      <c r="F9" s="95"/>
      <c r="G9" s="170"/>
    </row>
    <row r="10" spans="1:13" s="39" customFormat="1" ht="43.5" customHeight="1">
      <c r="A10" s="29">
        <v>1</v>
      </c>
      <c r="B10" s="308"/>
      <c r="C10" s="44" t="s">
        <v>389</v>
      </c>
      <c r="D10" s="188">
        <f t="shared" ref="D10:D15" si="0">VLOOKUP(A10,SCH_SHEA_BMT_ALLO_UNREL,9,FALSE)</f>
        <v>6797</v>
      </c>
      <c r="E10" s="307"/>
      <c r="F10" s="95"/>
      <c r="G10" s="95"/>
    </row>
    <row r="11" spans="1:13" s="39" customFormat="1" ht="35.1" customHeight="1">
      <c r="A11" s="29">
        <v>2</v>
      </c>
      <c r="B11" s="308"/>
      <c r="C11" s="311" t="s">
        <v>552</v>
      </c>
      <c r="D11" s="188">
        <f t="shared" si="0"/>
        <v>8454</v>
      </c>
      <c r="E11" s="312"/>
      <c r="F11" s="96"/>
      <c r="G11" s="96"/>
      <c r="M11" s="96"/>
    </row>
    <row r="12" spans="1:13" s="39" customFormat="1" ht="35.1" customHeight="1">
      <c r="A12" s="29">
        <v>3</v>
      </c>
      <c r="B12" s="308"/>
      <c r="C12" s="313" t="s">
        <v>583</v>
      </c>
      <c r="D12" s="188" t="str">
        <f t="shared" si="0"/>
        <v>NBMD or Cord blood Invoice Cost</v>
      </c>
      <c r="E12" s="312"/>
      <c r="F12" s="96"/>
      <c r="G12" s="96"/>
    </row>
    <row r="13" spans="1:13" s="39" customFormat="1" ht="35.1" customHeight="1">
      <c r="A13" s="29">
        <v>4</v>
      </c>
      <c r="B13" s="308"/>
      <c r="C13" s="311" t="s">
        <v>391</v>
      </c>
      <c r="D13" s="188">
        <f t="shared" si="0"/>
        <v>125993</v>
      </c>
      <c r="E13" s="312"/>
      <c r="F13" s="96"/>
      <c r="G13" s="96"/>
    </row>
    <row r="14" spans="1:13" s="39" customFormat="1" ht="35.1" customHeight="1">
      <c r="A14" s="29">
        <v>5</v>
      </c>
      <c r="B14" s="308"/>
      <c r="C14" s="314" t="s">
        <v>392</v>
      </c>
      <c r="D14" s="188">
        <f t="shared" si="0"/>
        <v>46116</v>
      </c>
      <c r="E14" s="312"/>
      <c r="F14" s="96"/>
      <c r="G14" s="96"/>
    </row>
    <row r="15" spans="1:13" s="39" customFormat="1" ht="35.1" customHeight="1">
      <c r="A15" s="29">
        <v>6</v>
      </c>
      <c r="B15" s="308"/>
      <c r="C15" s="314" t="s">
        <v>393</v>
      </c>
      <c r="D15" s="188">
        <f t="shared" si="0"/>
        <v>30746</v>
      </c>
      <c r="E15" s="312"/>
      <c r="F15" s="96"/>
      <c r="G15" s="96"/>
    </row>
    <row r="16" spans="1:13" s="39" customFormat="1" ht="36" customHeight="1">
      <c r="A16" s="62"/>
      <c r="B16" s="308"/>
      <c r="C16" s="315" t="s">
        <v>584</v>
      </c>
      <c r="D16" s="316">
        <f>SUM(D10:D15)</f>
        <v>218106</v>
      </c>
      <c r="E16" s="308"/>
      <c r="F16" s="96"/>
      <c r="G16" s="96"/>
    </row>
    <row r="17" spans="1:9" s="39" customFormat="1">
      <c r="A17" s="62"/>
      <c r="B17" s="308"/>
      <c r="C17" s="308"/>
      <c r="D17" s="317"/>
      <c r="E17" s="308"/>
      <c r="F17" s="96"/>
      <c r="G17" s="96"/>
    </row>
    <row r="18" spans="1:9" s="39" customFormat="1" ht="42.95" customHeight="1">
      <c r="A18" s="29">
        <v>7</v>
      </c>
      <c r="B18" s="207"/>
      <c r="C18" s="216" t="s">
        <v>395</v>
      </c>
      <c r="D18" s="185">
        <f>VLOOKUP(A18,SCH_SHEA_BMT_ALLO_UNREL,9,FALSE)</f>
        <v>2554</v>
      </c>
      <c r="E18" s="203"/>
      <c r="F18" s="30"/>
      <c r="G18" s="30"/>
    </row>
    <row r="19" spans="1:9" ht="50.45" customHeight="1">
      <c r="A19" s="29">
        <v>8</v>
      </c>
      <c r="B19" s="292"/>
      <c r="C19" s="52" t="s">
        <v>396</v>
      </c>
      <c r="D19" s="225">
        <f>VLOOKUP(A19,SCH_SHEA_BMT_ALLO_UNREL,9,FALSE)</f>
        <v>8014.1928120000002</v>
      </c>
      <c r="E19" s="45"/>
      <c r="F19" s="45"/>
      <c r="G19" s="45"/>
    </row>
    <row r="20" spans="1:9" s="39" customFormat="1" ht="18.95" customHeight="1">
      <c r="A20" s="47"/>
      <c r="B20" s="207"/>
      <c r="C20" s="207"/>
      <c r="D20" s="293"/>
      <c r="E20" s="207"/>
    </row>
    <row r="21" spans="1:9" ht="52.5" customHeight="1">
      <c r="A21" s="62"/>
      <c r="B21" s="308"/>
      <c r="C21" s="567" t="s">
        <v>417</v>
      </c>
      <c r="D21" s="568"/>
      <c r="E21" s="568"/>
      <c r="F21" s="568"/>
      <c r="G21" s="569"/>
    </row>
    <row r="22" spans="1:9" ht="11.25" customHeight="1">
      <c r="A22" s="62"/>
    </row>
    <row r="23" spans="1:9" s="39" customFormat="1" ht="36.75" customHeight="1">
      <c r="A23" s="47"/>
      <c r="B23" s="207"/>
      <c r="C23" s="567" t="s">
        <v>398</v>
      </c>
      <c r="D23" s="568"/>
      <c r="E23" s="568"/>
      <c r="F23" s="568"/>
      <c r="G23" s="569"/>
      <c r="H23" s="48"/>
      <c r="I23" s="48"/>
    </row>
    <row r="24" spans="1:9">
      <c r="A24" s="62"/>
    </row>
    <row r="25" spans="1:9">
      <c r="A25" s="62"/>
    </row>
    <row r="26" spans="1:9">
      <c r="A26" s="62"/>
    </row>
    <row r="27" spans="1:9">
      <c r="A27" s="62"/>
    </row>
    <row r="28" spans="1:9">
      <c r="A28" s="62"/>
    </row>
    <row r="29" spans="1:9">
      <c r="A29" s="62"/>
    </row>
    <row r="30" spans="1:9">
      <c r="A30" s="62"/>
    </row>
    <row r="31" spans="1:9">
      <c r="A31" s="62"/>
    </row>
    <row r="32" spans="1:9">
      <c r="A32" s="62"/>
    </row>
    <row r="33" spans="1:1">
      <c r="A33" s="62"/>
    </row>
    <row r="34" spans="1:1">
      <c r="A34" s="62"/>
    </row>
    <row r="35" spans="1:1">
      <c r="A35" s="62"/>
    </row>
  </sheetData>
  <sheetProtection algorithmName="SHA-512" hashValue="M5eTclUGXjQ2X8832VpmtIVcbzTMGOjBXpEntFXDSd5/pciZ78nps9L1GB5TG838fJGxJKn5L37QtP5vl2pPxA==" saltValue="fVdYs6uuL2tZbI6cIFDk8A==" spinCount="100000" sheet="1" objects="1" scenarios="1"/>
  <mergeCells count="6">
    <mergeCell ref="C23:G23"/>
    <mergeCell ref="C21:G21"/>
    <mergeCell ref="B3:G3"/>
    <mergeCell ref="B4:G4"/>
    <mergeCell ref="B5:G5"/>
    <mergeCell ref="B6:G6"/>
  </mergeCells>
  <printOptions horizontalCentered="1"/>
  <pageMargins left="0.25" right="0.25" top="0.25" bottom="0.25" header="0.25" footer="0.25"/>
  <pageSetup scale="77"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C5C1-A57D-43F2-B8C3-0A2768A4F17C}">
  <sheetPr codeName="Sheet100">
    <tabColor theme="8"/>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4" style="207" customWidth="1"/>
    <col min="5" max="5" width="9" style="207" customWidth="1"/>
    <col min="6"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619" t="s">
        <v>576</v>
      </c>
      <c r="C3" s="619"/>
      <c r="D3" s="619"/>
      <c r="E3" s="302"/>
      <c r="F3" s="90"/>
      <c r="G3" s="90"/>
    </row>
    <row r="4" spans="1:7" s="33" customFormat="1" ht="19.899999999999999" customHeight="1">
      <c r="A4" s="31"/>
      <c r="B4" s="571" t="s">
        <v>418</v>
      </c>
      <c r="C4" s="571"/>
      <c r="D4" s="571"/>
      <c r="E4" s="303"/>
    </row>
    <row r="5" spans="1:7" s="33" customFormat="1" ht="19.899999999999999" customHeight="1">
      <c r="A5" s="31"/>
      <c r="B5" s="619" t="s">
        <v>473</v>
      </c>
      <c r="C5" s="619"/>
      <c r="D5" s="619"/>
      <c r="E5" s="302"/>
      <c r="F5" s="91"/>
      <c r="G5" s="91"/>
    </row>
    <row r="6" spans="1:7" s="33" customFormat="1" ht="19.899999999999999" customHeight="1">
      <c r="A6" s="31"/>
      <c r="B6" s="619" t="s">
        <v>577</v>
      </c>
      <c r="C6" s="619"/>
      <c r="D6" s="619"/>
      <c r="E6" s="302"/>
      <c r="F6" s="90"/>
      <c r="G6" s="90"/>
    </row>
    <row r="7" spans="1:7" s="38" customFormat="1" ht="14.1">
      <c r="A7" s="37"/>
      <c r="B7" s="205"/>
      <c r="C7" s="206"/>
      <c r="D7" s="304"/>
      <c r="E7" s="205"/>
    </row>
    <row r="8" spans="1:7" ht="39" customHeight="1">
      <c r="A8" s="47"/>
      <c r="C8" s="305" t="s">
        <v>387</v>
      </c>
      <c r="D8" s="305" t="s">
        <v>388</v>
      </c>
    </row>
    <row r="9" spans="1:7" ht="28.5" customHeight="1">
      <c r="A9" s="29">
        <v>1</v>
      </c>
      <c r="C9" s="230" t="s">
        <v>420</v>
      </c>
      <c r="D9" s="183">
        <f>VLOOKUP(A9,SCH_SHEA_TBI,9,FALSE)</f>
        <v>8072</v>
      </c>
      <c r="G9" s="167"/>
    </row>
    <row r="10" spans="1:7" ht="35.1" customHeight="1">
      <c r="A10" s="29"/>
      <c r="C10" s="306" t="s">
        <v>421</v>
      </c>
      <c r="D10" s="189">
        <f>SUM(D9)</f>
        <v>8072</v>
      </c>
    </row>
    <row r="11" spans="1:7">
      <c r="A11" s="47"/>
    </row>
    <row r="12" spans="1:7">
      <c r="A12" s="47"/>
    </row>
    <row r="13" spans="1:7">
      <c r="A13" s="47"/>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sheetData>
  <sheetProtection algorithmName="SHA-512" hashValue="/rnCcGlAtKtdFWLEUl6XKQISZR8ufOCxSbETnXLooGqXOu1yg8ZgjvQNUyn4wr7ZjVxGtmQbV9bFj0Enc1TMLQ==" saltValue="JeFq/YTFfAMYG5Y5Wn7TMQ==" spinCount="100000" sheet="1" objects="1" scenarios="1"/>
  <mergeCells count="4">
    <mergeCell ref="B3:D3"/>
    <mergeCell ref="B4:D4"/>
    <mergeCell ref="B5:D5"/>
    <mergeCell ref="B6:D6"/>
  </mergeCells>
  <printOptions horizontalCentered="1"/>
  <pageMargins left="0.25" right="0.25" top="0.25" bottom="0.25" header="0.25" footer="0.25"/>
  <pageSetup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06">
    <tabColor theme="9"/>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70" style="290" customWidth="1"/>
    <col min="4" max="4" width="19.25" style="290" customWidth="1"/>
    <col min="5" max="5" width="12" style="290" customWidth="1"/>
    <col min="6" max="6" width="12.75" style="48" customWidth="1"/>
    <col min="7" max="7" width="18.25"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s="39" customFormat="1">
      <c r="A2" s="47"/>
      <c r="B2" s="207"/>
      <c r="C2" s="207"/>
      <c r="D2" s="207"/>
      <c r="E2" s="207"/>
    </row>
    <row r="3" spans="1:7" s="39" customFormat="1" ht="19.899999999999999" customHeight="1">
      <c r="A3" s="47"/>
      <c r="B3" s="570" t="s">
        <v>585</v>
      </c>
      <c r="C3" s="570"/>
      <c r="D3" s="570"/>
      <c r="E3" s="570"/>
      <c r="F3" s="570"/>
      <c r="G3" s="83"/>
    </row>
    <row r="4" spans="1:7" s="39" customFormat="1" ht="19.899999999999999" customHeight="1">
      <c r="A4" s="47"/>
      <c r="B4" s="570" t="s">
        <v>586</v>
      </c>
      <c r="C4" s="570"/>
      <c r="D4" s="570"/>
      <c r="E4" s="570"/>
      <c r="F4" s="570"/>
      <c r="G4" s="83"/>
    </row>
    <row r="5" spans="1:7" s="39" customFormat="1" ht="19.899999999999999" customHeight="1">
      <c r="A5" s="47"/>
      <c r="B5" s="571" t="s">
        <v>473</v>
      </c>
      <c r="C5" s="571"/>
      <c r="D5" s="571"/>
      <c r="E5" s="571"/>
      <c r="F5" s="571"/>
      <c r="G5" s="85"/>
    </row>
    <row r="6" spans="1:7" s="39" customFormat="1" ht="19.899999999999999" customHeight="1">
      <c r="A6" s="47"/>
      <c r="B6" s="570" t="s">
        <v>587</v>
      </c>
      <c r="C6" s="570"/>
      <c r="D6" s="570"/>
      <c r="E6" s="570"/>
      <c r="F6" s="570"/>
      <c r="G6" s="83"/>
    </row>
    <row r="7" spans="1:7" s="39" customFormat="1">
      <c r="A7" s="47"/>
      <c r="B7" s="207"/>
      <c r="C7" s="207"/>
      <c r="D7" s="207"/>
      <c r="E7" s="207"/>
    </row>
    <row r="8" spans="1:7" s="39" customFormat="1" ht="17.25" customHeight="1">
      <c r="A8" s="47"/>
      <c r="B8" s="207"/>
      <c r="C8" s="208"/>
      <c r="D8" s="202" t="s">
        <v>386</v>
      </c>
      <c r="E8" s="207"/>
    </row>
    <row r="9" spans="1:7" s="39" customFormat="1" ht="35.1" customHeight="1">
      <c r="A9" s="47"/>
      <c r="B9" s="207"/>
      <c r="C9" s="299" t="s">
        <v>387</v>
      </c>
      <c r="D9" s="102" t="s">
        <v>388</v>
      </c>
      <c r="E9" s="300"/>
      <c r="F9" s="89"/>
      <c r="G9" s="167"/>
    </row>
    <row r="10" spans="1:7" s="39" customFormat="1" ht="47.25" customHeight="1">
      <c r="A10" s="29">
        <v>1</v>
      </c>
      <c r="B10" s="207"/>
      <c r="C10" s="44" t="s">
        <v>389</v>
      </c>
      <c r="D10" s="188">
        <f>VLOOKUP(A10,ST_JOSEPHS_SINGLE_LUNG,9,FALSE)</f>
        <v>10397</v>
      </c>
      <c r="E10" s="300"/>
      <c r="F10" s="89"/>
      <c r="G10" s="89"/>
    </row>
    <row r="11" spans="1:7" s="39" customFormat="1" ht="35.1" customHeight="1">
      <c r="A11" s="29">
        <v>2</v>
      </c>
      <c r="B11" s="207"/>
      <c r="C11" s="220" t="s">
        <v>391</v>
      </c>
      <c r="D11" s="188">
        <f>VLOOKUP(A11,ST_JOSEPHS_SINGLE_LUNG,9,FALSE)</f>
        <v>140290</v>
      </c>
      <c r="E11" s="207"/>
    </row>
    <row r="12" spans="1:7" s="39" customFormat="1" ht="35.1" customHeight="1">
      <c r="A12" s="29">
        <v>3</v>
      </c>
      <c r="B12" s="207"/>
      <c r="C12" s="212" t="s">
        <v>392</v>
      </c>
      <c r="D12" s="188">
        <f>VLOOKUP(A12,ST_JOSEPHS_SINGLE_LUNG,9,FALSE)</f>
        <v>115455</v>
      </c>
      <c r="E12" s="207"/>
    </row>
    <row r="13" spans="1:7" s="39" customFormat="1" ht="35.1" customHeight="1">
      <c r="A13" s="29">
        <v>4</v>
      </c>
      <c r="B13" s="207"/>
      <c r="C13" s="212" t="s">
        <v>393</v>
      </c>
      <c r="D13" s="188">
        <f>VLOOKUP(A13,ST_JOSEPHS_SINGLE_LUNG,9,FALSE)</f>
        <v>31919</v>
      </c>
      <c r="E13" s="207"/>
    </row>
    <row r="14" spans="1:7" s="39" customFormat="1" ht="35.1" customHeight="1">
      <c r="A14" s="47"/>
      <c r="B14" s="207"/>
      <c r="C14" s="213" t="s">
        <v>588</v>
      </c>
      <c r="D14" s="222">
        <f>SUM(D10:D13)</f>
        <v>298061</v>
      </c>
      <c r="E14" s="207"/>
    </row>
    <row r="15" spans="1:7" s="39" customFormat="1">
      <c r="A15" s="47"/>
      <c r="B15" s="207"/>
      <c r="C15" s="207"/>
      <c r="D15" s="224"/>
      <c r="E15" s="207"/>
    </row>
    <row r="16" spans="1:7" s="39" customFormat="1" ht="48.6" customHeight="1">
      <c r="A16" s="29">
        <v>5</v>
      </c>
      <c r="B16" s="207"/>
      <c r="C16" s="216" t="s">
        <v>395</v>
      </c>
      <c r="D16" s="188">
        <f>VLOOKUP(A16,ST_JOSEPHS_SINGLE_LUNG,9,FALSE)</f>
        <v>2554</v>
      </c>
      <c r="E16" s="203"/>
      <c r="F16" s="30"/>
      <c r="G16" s="30"/>
    </row>
    <row r="17" spans="1:7" ht="50.45" customHeight="1">
      <c r="A17" s="29">
        <v>6</v>
      </c>
      <c r="B17" s="292"/>
      <c r="C17" s="52" t="s">
        <v>396</v>
      </c>
      <c r="D17" s="225">
        <f>VLOOKUP(A17,ST_JOSEPHS_SINGLE_LUNG,9,FALSE)</f>
        <v>8014.1928120000002</v>
      </c>
      <c r="E17" s="45"/>
      <c r="F17" s="45"/>
      <c r="G17" s="45"/>
    </row>
    <row r="18" spans="1:7" s="39" customFormat="1" ht="27.95" customHeight="1">
      <c r="A18" s="29"/>
      <c r="B18" s="207"/>
      <c r="C18" s="207"/>
      <c r="D18" s="293"/>
      <c r="E18" s="207"/>
    </row>
    <row r="19" spans="1:7" s="39" customFormat="1" ht="57" customHeight="1">
      <c r="A19" s="29"/>
      <c r="B19" s="301"/>
      <c r="C19" s="567" t="s">
        <v>417</v>
      </c>
      <c r="D19" s="568"/>
      <c r="E19" s="568"/>
      <c r="F19" s="568"/>
      <c r="G19" s="569"/>
    </row>
    <row r="20" spans="1:7" s="39" customFormat="1">
      <c r="A20" s="47"/>
      <c r="B20" s="207"/>
      <c r="C20" s="207"/>
      <c r="D20" s="293"/>
      <c r="E20" s="207"/>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NpFHnMpXmFpFnZnrR0px9rCih6PNEVUUYkXWsb8q1hoSbFdcrf3oVmlrfM5do4MyzeJHxsjfH2S9mfgELZih+w==" saltValue="c0FOqeWEgTFqjVTpCjrxsA==" spinCount="100000" sheet="1" objects="1" scenarios="1"/>
  <mergeCells count="5">
    <mergeCell ref="B3:F3"/>
    <mergeCell ref="B4:F4"/>
    <mergeCell ref="B5:F5"/>
    <mergeCell ref="B6:F6"/>
    <mergeCell ref="C19:G19"/>
  </mergeCells>
  <printOptions horizontalCentered="1"/>
  <pageMargins left="0.25" right="0.25" top="0.25" bottom="0.25" header="0.25" footer="0.25"/>
  <pageSetup scale="81"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07">
    <tabColor theme="9"/>
    <pageSetUpPr fitToPage="1"/>
  </sheetPr>
  <dimension ref="A1:H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70.75" style="290" customWidth="1"/>
    <col min="4" max="4" width="21.5" style="290" customWidth="1"/>
    <col min="5" max="5" width="13.25" style="290" customWidth="1"/>
    <col min="6" max="6" width="15.5" style="48" customWidth="1"/>
    <col min="7" max="7" width="19" style="48" customWidth="1"/>
    <col min="8" max="8" width="9" style="48" customWidth="1"/>
    <col min="9" max="16384" width="9" style="48"/>
  </cols>
  <sheetData>
    <row r="1" spans="1:8" s="491" customFormat="1" ht="20.100000000000001" hidden="1" customHeight="1">
      <c r="A1" s="481" t="e" cm="1">
        <f t="array" aca="1" ref="A1" ca="1">MID(CELL("filename",A1),FIND("]",CELL("filename",A1))+1,255)</f>
        <v>#VALUE!</v>
      </c>
      <c r="B1" s="490"/>
      <c r="C1" s="29">
        <v>3</v>
      </c>
      <c r="D1" s="29">
        <v>4</v>
      </c>
    </row>
    <row r="2" spans="1:8" ht="15" customHeight="1">
      <c r="A2" s="62"/>
      <c r="B2" s="207"/>
      <c r="C2" s="207"/>
      <c r="D2" s="584"/>
      <c r="E2" s="584"/>
      <c r="F2" s="584"/>
      <c r="G2" s="584"/>
      <c r="H2" s="584"/>
    </row>
    <row r="3" spans="1:8" ht="19.899999999999999" customHeight="1">
      <c r="A3" s="62"/>
      <c r="B3" s="570" t="s">
        <v>585</v>
      </c>
      <c r="C3" s="570"/>
      <c r="D3" s="570"/>
      <c r="E3" s="570"/>
      <c r="F3" s="570"/>
      <c r="G3" s="570"/>
    </row>
    <row r="4" spans="1:8" ht="19.899999999999999" customHeight="1">
      <c r="A4" s="62"/>
      <c r="B4" s="570" t="s">
        <v>589</v>
      </c>
      <c r="C4" s="570"/>
      <c r="D4" s="570"/>
      <c r="E4" s="570"/>
      <c r="F4" s="570"/>
      <c r="G4" s="570"/>
    </row>
    <row r="5" spans="1:8" ht="19.899999999999999" customHeight="1">
      <c r="A5" s="62"/>
      <c r="B5" s="571" t="s">
        <v>473</v>
      </c>
      <c r="C5" s="571"/>
      <c r="D5" s="571"/>
      <c r="E5" s="571"/>
      <c r="F5" s="571"/>
      <c r="G5" s="571"/>
    </row>
    <row r="6" spans="1:8" ht="19.899999999999999" customHeight="1">
      <c r="A6" s="62"/>
      <c r="B6" s="570" t="s">
        <v>587</v>
      </c>
      <c r="C6" s="570"/>
      <c r="D6" s="570"/>
      <c r="E6" s="570"/>
      <c r="F6" s="570"/>
      <c r="G6" s="570"/>
    </row>
    <row r="7" spans="1:8" ht="19.899999999999999" customHeight="1">
      <c r="A7" s="62"/>
      <c r="B7" s="204"/>
      <c r="C7" s="204"/>
      <c r="D7" s="204"/>
      <c r="E7" s="204"/>
      <c r="F7" s="32"/>
      <c r="G7" s="32"/>
    </row>
    <row r="8" spans="1:8" ht="15.95" customHeight="1">
      <c r="A8" s="62"/>
      <c r="B8" s="207"/>
      <c r="C8" s="207"/>
      <c r="D8" s="291" t="s">
        <v>386</v>
      </c>
      <c r="E8" s="207"/>
      <c r="F8" s="39"/>
      <c r="G8" s="39"/>
    </row>
    <row r="9" spans="1:8" s="39" customFormat="1" ht="35.1" customHeight="1">
      <c r="A9" s="47"/>
      <c r="B9" s="207"/>
      <c r="C9" s="146" t="s">
        <v>387</v>
      </c>
      <c r="D9" s="102" t="s">
        <v>388</v>
      </c>
      <c r="E9" s="291"/>
      <c r="F9" s="41"/>
      <c r="G9" s="167"/>
    </row>
    <row r="10" spans="1:8" s="39" customFormat="1" ht="45" customHeight="1">
      <c r="A10" s="29">
        <v>1</v>
      </c>
      <c r="B10" s="207"/>
      <c r="C10" s="44" t="s">
        <v>389</v>
      </c>
      <c r="D10" s="188">
        <f>VLOOKUP(A10,ST_JOSEPHS_DOUBLE_LUNG,9,FALSE)</f>
        <v>11238</v>
      </c>
      <c r="E10" s="291"/>
      <c r="F10" s="41"/>
      <c r="G10" s="41"/>
    </row>
    <row r="11" spans="1:8" s="39" customFormat="1" ht="35.1" customHeight="1">
      <c r="A11" s="29">
        <v>2</v>
      </c>
      <c r="B11" s="207"/>
      <c r="C11" s="297" t="s">
        <v>391</v>
      </c>
      <c r="D11" s="188">
        <f>VLOOKUP(A11,ST_JOSEPHS_DOUBLE_LUNG,9,FALSE)</f>
        <v>167589</v>
      </c>
      <c r="E11" s="294"/>
    </row>
    <row r="12" spans="1:8" s="39" customFormat="1" ht="35.1" customHeight="1">
      <c r="A12" s="29">
        <v>3</v>
      </c>
      <c r="B12" s="207"/>
      <c r="C12" s="298" t="s">
        <v>392</v>
      </c>
      <c r="D12" s="188">
        <f>VLOOKUP(A12,ST_JOSEPHS_DOUBLE_LUNG,9,FALSE)</f>
        <v>127470</v>
      </c>
      <c r="E12" s="294"/>
    </row>
    <row r="13" spans="1:8" s="39" customFormat="1" ht="35.1" customHeight="1">
      <c r="A13" s="29">
        <v>4</v>
      </c>
      <c r="B13" s="207"/>
      <c r="C13" s="298" t="s">
        <v>393</v>
      </c>
      <c r="D13" s="188">
        <f>VLOOKUP(A13,ST_JOSEPHS_DOUBLE_LUNG,9,FALSE)</f>
        <v>27734</v>
      </c>
      <c r="E13" s="294"/>
    </row>
    <row r="14" spans="1:8" ht="35.1" customHeight="1">
      <c r="A14" s="47"/>
      <c r="B14" s="207"/>
      <c r="C14" s="221" t="s">
        <v>494</v>
      </c>
      <c r="D14" s="238">
        <f>SUM(D10:D13)</f>
        <v>334031</v>
      </c>
      <c r="E14" s="207"/>
      <c r="F14" s="39"/>
      <c r="G14" s="39"/>
    </row>
    <row r="15" spans="1:8">
      <c r="A15" s="47"/>
      <c r="B15" s="207"/>
      <c r="C15" s="218"/>
      <c r="D15" s="239"/>
      <c r="E15" s="207"/>
      <c r="F15" s="39"/>
      <c r="G15" s="39"/>
    </row>
    <row r="16" spans="1:8" s="39" customFormat="1" ht="35.1" customHeight="1">
      <c r="A16" s="29">
        <v>5</v>
      </c>
      <c r="B16" s="207"/>
      <c r="C16" s="297" t="s">
        <v>395</v>
      </c>
      <c r="D16" s="188">
        <f>VLOOKUP(A16,ST_JOSEPHS_DOUBLE_LUNG,9,FALSE)</f>
        <v>2554</v>
      </c>
      <c r="E16" s="294"/>
    </row>
    <row r="17" spans="1:7" ht="50.45" customHeight="1">
      <c r="A17" s="29">
        <v>6</v>
      </c>
      <c r="B17" s="292"/>
      <c r="C17" s="52" t="s">
        <v>396</v>
      </c>
      <c r="D17" s="225">
        <f>VLOOKUP(A17,ST_JOSEPHS_DOUBLE_LUNG,9,FALSE)</f>
        <v>8014.1928120000002</v>
      </c>
      <c r="E17" s="45"/>
      <c r="F17" s="45"/>
      <c r="G17" s="45"/>
    </row>
    <row r="18" spans="1:7" ht="19.5" customHeight="1">
      <c r="A18" s="62"/>
      <c r="C18" s="207"/>
      <c r="D18" s="293"/>
    </row>
    <row r="19" spans="1:7" ht="57.6" customHeight="1">
      <c r="A19" s="62"/>
      <c r="B19" s="206"/>
      <c r="C19" s="567" t="s">
        <v>417</v>
      </c>
      <c r="D19" s="568"/>
      <c r="E19" s="568"/>
      <c r="F19" s="568"/>
      <c r="G19" s="569"/>
    </row>
    <row r="20" spans="1:7">
      <c r="A20" s="62"/>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9mu4h+DO9CfnOiHwSx4QPyboi+eGjuvMQhTmxPnEYSQPd9S05Hie1xEmmGN7506KXa/3JdVa/FTCEGVajInPCA==" saltValue="GQOokqoU4nowWnnv6RODTQ==" spinCount="100000" sheet="1" objects="1" scenarios="1"/>
  <mergeCells count="6">
    <mergeCell ref="C19:G19"/>
    <mergeCell ref="D2:H2"/>
    <mergeCell ref="B3:G3"/>
    <mergeCell ref="B4:G4"/>
    <mergeCell ref="B5:G5"/>
    <mergeCell ref="B6:G6"/>
  </mergeCells>
  <printOptions horizontalCentered="1"/>
  <pageMargins left="0.25" right="0.25" top="0.25" bottom="0.25" header="0.25" footer="0.25"/>
  <pageSetup scale="74"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08">
    <tabColor theme="9" tint="-0.249977111117893"/>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8.625" style="290" customWidth="1"/>
    <col min="4" max="4" width="22.875" style="290" customWidth="1"/>
    <col min="5" max="5" width="11.5" style="290" customWidth="1"/>
    <col min="6" max="6" width="22.625" style="48" customWidth="1"/>
    <col min="7" max="7" width="17" style="48" customWidth="1"/>
    <col min="8" max="16384" width="9" style="48"/>
  </cols>
  <sheetData>
    <row r="1" spans="1:7" s="491" customFormat="1" ht="20.100000000000001" hidden="1" customHeight="1">
      <c r="A1" s="481" t="e" cm="1">
        <f t="array" aca="1" ref="A1" ca="1">MID(CELL("filename",A1),FIND("]",CELL("filename",A1))+1,255)</f>
        <v>#VALUE!</v>
      </c>
      <c r="B1" s="490"/>
      <c r="C1" s="29">
        <v>3</v>
      </c>
      <c r="D1" s="29">
        <v>4</v>
      </c>
    </row>
    <row r="2" spans="1:7">
      <c r="A2" s="62"/>
      <c r="B2" s="207"/>
      <c r="C2" s="207"/>
      <c r="D2" s="207"/>
      <c r="E2" s="207"/>
      <c r="F2" s="39"/>
      <c r="G2" s="39"/>
    </row>
    <row r="3" spans="1:7" s="88" customFormat="1" ht="19.899999999999999" customHeight="1">
      <c r="A3" s="87"/>
      <c r="B3" s="570" t="s">
        <v>585</v>
      </c>
      <c r="C3" s="570"/>
      <c r="D3" s="570"/>
      <c r="E3" s="570"/>
      <c r="F3" s="570"/>
      <c r="G3" s="570"/>
    </row>
    <row r="4" spans="1:7" s="88" customFormat="1" ht="19.899999999999999" customHeight="1">
      <c r="A4" s="87"/>
      <c r="B4" s="570" t="s">
        <v>590</v>
      </c>
      <c r="C4" s="570"/>
      <c r="D4" s="570"/>
      <c r="E4" s="570"/>
      <c r="F4" s="570"/>
      <c r="G4" s="570"/>
    </row>
    <row r="5" spans="1:7" s="88" customFormat="1" ht="19.899999999999999" customHeight="1">
      <c r="A5" s="87"/>
      <c r="B5" s="571" t="s">
        <v>473</v>
      </c>
      <c r="C5" s="571"/>
      <c r="D5" s="571"/>
      <c r="E5" s="571"/>
      <c r="F5" s="571"/>
      <c r="G5" s="571"/>
    </row>
    <row r="6" spans="1:7" s="88" customFormat="1" ht="19.899999999999999" customHeight="1">
      <c r="A6" s="87"/>
      <c r="B6" s="570" t="s">
        <v>587</v>
      </c>
      <c r="C6" s="570"/>
      <c r="D6" s="570"/>
      <c r="E6" s="570"/>
      <c r="F6" s="570"/>
      <c r="G6" s="570"/>
    </row>
    <row r="7" spans="1:7" ht="15.6">
      <c r="A7" s="62"/>
      <c r="B7" s="204"/>
      <c r="C7" s="204" t="s">
        <v>80</v>
      </c>
      <c r="D7" s="204"/>
      <c r="E7" s="204"/>
      <c r="F7" s="32"/>
      <c r="G7" s="32"/>
    </row>
    <row r="8" spans="1:7" ht="15.95" customHeight="1">
      <c r="A8" s="62"/>
      <c r="B8" s="207"/>
      <c r="C8" s="207"/>
      <c r="D8" s="291" t="s">
        <v>386</v>
      </c>
      <c r="E8" s="207"/>
      <c r="F8" s="39"/>
      <c r="G8" s="39"/>
    </row>
    <row r="9" spans="1:7" s="39" customFormat="1" ht="39" customHeight="1">
      <c r="A9" s="47"/>
      <c r="B9" s="207"/>
      <c r="C9" s="146" t="s">
        <v>387</v>
      </c>
      <c r="D9" s="146" t="s">
        <v>388</v>
      </c>
      <c r="E9" s="202"/>
      <c r="F9" s="41"/>
      <c r="G9" s="167"/>
    </row>
    <row r="10" spans="1:7" s="39" customFormat="1" ht="49.5" customHeight="1">
      <c r="A10" s="29">
        <v>1</v>
      </c>
      <c r="B10" s="207"/>
      <c r="C10" s="212" t="s">
        <v>389</v>
      </c>
      <c r="D10" s="158">
        <f>VLOOKUP(A10,ST_JOES_SIMUL_CAD_LIV_KID,9,FALSE)</f>
        <v>8271</v>
      </c>
      <c r="E10" s="207"/>
    </row>
    <row r="11" spans="1:7" s="39" customFormat="1" ht="36.6" customHeight="1">
      <c r="A11" s="29">
        <v>2</v>
      </c>
      <c r="B11" s="207"/>
      <c r="C11" s="212" t="s">
        <v>391</v>
      </c>
      <c r="D11" s="158">
        <f>VLOOKUP(A11,ST_JOES_SIMUL_CAD_LIV_KID,9,FALSE)</f>
        <v>224676</v>
      </c>
      <c r="E11" s="207"/>
    </row>
    <row r="12" spans="1:7" s="39" customFormat="1" ht="36.6" customHeight="1">
      <c r="A12" s="29">
        <v>3</v>
      </c>
      <c r="B12" s="207"/>
      <c r="C12" s="212" t="s">
        <v>392</v>
      </c>
      <c r="D12" s="158">
        <f>VLOOKUP(A12,ST_JOES_SIMUL_CAD_LIV_KID,9,FALSE)</f>
        <v>121642</v>
      </c>
      <c r="E12" s="207"/>
    </row>
    <row r="13" spans="1:7" s="39" customFormat="1" ht="36.6" customHeight="1">
      <c r="A13" s="29">
        <v>4</v>
      </c>
      <c r="B13" s="207"/>
      <c r="C13" s="212" t="s">
        <v>393</v>
      </c>
      <c r="D13" s="158">
        <f>VLOOKUP(A13,ST_JOES_SIMUL_CAD_LIV_KID,9,FALSE)</f>
        <v>44084</v>
      </c>
      <c r="E13" s="207"/>
    </row>
    <row r="14" spans="1:7" s="39" customFormat="1" ht="35.1" customHeight="1">
      <c r="A14" s="47"/>
      <c r="B14" s="207"/>
      <c r="C14" s="213" t="s">
        <v>447</v>
      </c>
      <c r="D14" s="222">
        <f>SUM(D10:D13)</f>
        <v>398673</v>
      </c>
      <c r="E14" s="207"/>
    </row>
    <row r="15" spans="1:7" s="39" customFormat="1" ht="12.95">
      <c r="A15" s="47"/>
      <c r="B15" s="207"/>
      <c r="C15" s="221"/>
      <c r="D15" s="296"/>
      <c r="E15" s="207"/>
    </row>
    <row r="16" spans="1:7" s="39" customFormat="1" ht="39.950000000000003" customHeight="1">
      <c r="A16" s="29">
        <v>5</v>
      </c>
      <c r="B16" s="207"/>
      <c r="C16" s="216" t="s">
        <v>395</v>
      </c>
      <c r="D16" s="158">
        <f>VLOOKUP(A16,ST_JOES_SIMUL_CAD_LIV_KID,9,FALSE)</f>
        <v>2554</v>
      </c>
      <c r="E16" s="203"/>
      <c r="F16" s="30"/>
      <c r="G16" s="30"/>
    </row>
    <row r="17" spans="1:7" ht="50.45" customHeight="1">
      <c r="A17" s="29">
        <v>6</v>
      </c>
      <c r="B17" s="292"/>
      <c r="C17" s="52" t="s">
        <v>396</v>
      </c>
      <c r="D17" s="225">
        <f>VLOOKUP(A17,ST_JOES_SIMUL_CAD_LIV_KID,9,FALSE)</f>
        <v>8014.1928120000002</v>
      </c>
      <c r="E17" s="45"/>
      <c r="F17" s="45"/>
      <c r="G17" s="45"/>
    </row>
    <row r="18" spans="1:7" s="39" customFormat="1" ht="21.95" customHeight="1">
      <c r="A18" s="47"/>
      <c r="B18" s="207"/>
      <c r="C18" s="207"/>
      <c r="D18" s="207"/>
      <c r="E18" s="207"/>
    </row>
    <row r="19" spans="1:7" ht="57" customHeight="1">
      <c r="A19" s="62"/>
      <c r="B19" s="205"/>
      <c r="C19" s="567" t="s">
        <v>417</v>
      </c>
      <c r="D19" s="568"/>
      <c r="E19" s="568"/>
      <c r="F19" s="568"/>
      <c r="G19" s="569"/>
    </row>
    <row r="20" spans="1:7">
      <c r="A20" s="62"/>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sX+nT/VR/jQ70fqnLOYcvDnjEfIxLyMXQwlSHMVPbwS+hpNw+oBpcpYTmFuBxrAExvRyvu2J1ujqvAlS9fKeWA==" saltValue="k4RTy/zDJe3KmvyByrGCRA==" spinCount="100000" sheet="1" objects="1" scenarios="1"/>
  <mergeCells count="5">
    <mergeCell ref="B3:G3"/>
    <mergeCell ref="C19:G19"/>
    <mergeCell ref="B4:G4"/>
    <mergeCell ref="B5:G5"/>
    <mergeCell ref="B6:G6"/>
  </mergeCells>
  <printOptions horizontalCentered="1"/>
  <pageMargins left="0.25" right="0.25" top="0.25" bottom="0.25" header="0.25" footer="0.25"/>
  <pageSetup scale="7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09">
    <tabColor theme="9" tint="-0.249977111117893"/>
    <pageSetUpPr fitToPage="1"/>
  </sheetPr>
  <dimension ref="A1:K35"/>
  <sheetViews>
    <sheetView showGridLines="0" topLeftCell="B2" zoomScale="90" zoomScaleNormal="90" zoomScaleSheetLayoutView="70" workbookViewId="0">
      <selection activeCell="E10" sqref="E10"/>
    </sheetView>
  </sheetViews>
  <sheetFormatPr defaultColWidth="9" defaultRowHeight="12.6"/>
  <cols>
    <col min="1" max="1" width="30.625" style="30" hidden="1" customWidth="1"/>
    <col min="2" max="2" width="6.625" style="203" customWidth="1"/>
    <col min="3" max="3" width="69.125" style="203" customWidth="1"/>
    <col min="4" max="4" width="18.375" style="203" customWidth="1"/>
    <col min="5" max="5" width="18.625" style="203" customWidth="1"/>
    <col min="6" max="6" width="18.625" style="30" customWidth="1"/>
    <col min="7" max="7" width="12.625" style="30" customWidth="1"/>
    <col min="8" max="8" width="9" style="30" customWidth="1"/>
    <col min="9" max="16384" width="9" style="30"/>
  </cols>
  <sheetData>
    <row r="1" spans="1:11" s="493" customFormat="1" ht="20.100000000000001" hidden="1" customHeight="1">
      <c r="A1" s="481" t="e" cm="1">
        <f t="array" aca="1" ref="A1" ca="1">MID(CELL("filename",A1),FIND("]",CELL("filename",A1))+1,255)</f>
        <v>#VALUE!</v>
      </c>
      <c r="B1" s="492"/>
      <c r="C1" s="29">
        <v>3</v>
      </c>
      <c r="D1" s="29">
        <v>4</v>
      </c>
    </row>
    <row r="2" spans="1:11">
      <c r="A2" s="28"/>
    </row>
    <row r="3" spans="1:11" s="33" customFormat="1" ht="19.899999999999999" customHeight="1">
      <c r="A3" s="31"/>
      <c r="B3" s="570" t="s">
        <v>585</v>
      </c>
      <c r="C3" s="570"/>
      <c r="D3" s="570"/>
      <c r="E3" s="570"/>
      <c r="F3" s="570"/>
      <c r="G3" s="83"/>
    </row>
    <row r="4" spans="1:11" s="33" customFormat="1" ht="19.899999999999999" customHeight="1">
      <c r="A4" s="31"/>
      <c r="B4" s="570" t="s">
        <v>444</v>
      </c>
      <c r="C4" s="570"/>
      <c r="D4" s="570"/>
      <c r="E4" s="570"/>
      <c r="F4" s="570"/>
      <c r="G4" s="83"/>
    </row>
    <row r="5" spans="1:11" s="86" customFormat="1" ht="19.899999999999999" customHeight="1">
      <c r="A5" s="84"/>
      <c r="B5" s="571" t="s">
        <v>473</v>
      </c>
      <c r="C5" s="571"/>
      <c r="D5" s="571"/>
      <c r="E5" s="571"/>
      <c r="F5" s="571"/>
      <c r="G5" s="85"/>
    </row>
    <row r="6" spans="1:11" s="33" customFormat="1" ht="19.899999999999999" customHeight="1">
      <c r="A6" s="31"/>
      <c r="B6" s="570" t="s">
        <v>587</v>
      </c>
      <c r="C6" s="570"/>
      <c r="D6" s="570"/>
      <c r="E6" s="570"/>
      <c r="F6" s="570"/>
      <c r="G6" s="83"/>
    </row>
    <row r="7" spans="1:11" s="33" customFormat="1" ht="12.75" customHeight="1">
      <c r="A7" s="31"/>
      <c r="B7" s="204"/>
      <c r="C7" s="204"/>
      <c r="D7" s="204"/>
      <c r="E7" s="204"/>
      <c r="F7" s="32"/>
      <c r="G7" s="32"/>
    </row>
    <row r="8" spans="1:11" s="39" customFormat="1" ht="20.25" customHeight="1">
      <c r="A8" s="47"/>
      <c r="B8" s="207"/>
      <c r="C8" s="208"/>
      <c r="D8" s="202" t="s">
        <v>386</v>
      </c>
      <c r="E8" s="295"/>
      <c r="F8" s="190"/>
      <c r="G8" s="190"/>
      <c r="H8" s="30"/>
      <c r="I8" s="30"/>
      <c r="J8" s="30"/>
      <c r="K8" s="30"/>
    </row>
    <row r="9" spans="1:11" s="39" customFormat="1" ht="24.95" customHeight="1">
      <c r="A9" s="47"/>
      <c r="B9" s="207"/>
      <c r="C9" s="146" t="s">
        <v>387</v>
      </c>
      <c r="D9" s="146" t="s">
        <v>388</v>
      </c>
      <c r="E9" s="202"/>
      <c r="F9" s="41"/>
      <c r="G9" s="167"/>
      <c r="H9" s="30"/>
      <c r="I9" s="30"/>
      <c r="J9" s="30"/>
      <c r="K9" s="30"/>
    </row>
    <row r="10" spans="1:11" s="39" customFormat="1" ht="41.25" customHeight="1">
      <c r="A10" s="29">
        <v>1</v>
      </c>
      <c r="B10" s="207"/>
      <c r="C10" s="44" t="s">
        <v>389</v>
      </c>
      <c r="D10" s="158">
        <f>VLOOKUP(A10,ST_JOSEPHS_CAD_LIVER_ADULT,9,FALSE)</f>
        <v>8017</v>
      </c>
      <c r="E10" s="202"/>
      <c r="F10" s="41"/>
      <c r="G10" s="41"/>
      <c r="H10" s="30"/>
      <c r="I10" s="30"/>
      <c r="J10" s="30"/>
      <c r="K10" s="30"/>
    </row>
    <row r="11" spans="1:11" s="39" customFormat="1" ht="41.25" customHeight="1">
      <c r="A11" s="29">
        <v>2</v>
      </c>
      <c r="B11" s="207"/>
      <c r="C11" s="44" t="s">
        <v>391</v>
      </c>
      <c r="D11" s="158">
        <f>VLOOKUP(A11,ST_JOSEPHS_CAD_LIVER_ADULT,9,FALSE)</f>
        <v>165128</v>
      </c>
      <c r="E11" s="202"/>
      <c r="F11" s="41"/>
      <c r="G11" s="41"/>
      <c r="H11" s="30"/>
      <c r="I11" s="30"/>
      <c r="J11" s="30"/>
      <c r="K11" s="30"/>
    </row>
    <row r="12" spans="1:11" s="39" customFormat="1" ht="41.25" customHeight="1">
      <c r="A12" s="29">
        <v>3</v>
      </c>
      <c r="B12" s="207"/>
      <c r="C12" s="44" t="s">
        <v>392</v>
      </c>
      <c r="D12" s="158">
        <f>VLOOKUP(A12,ST_JOSEPHS_CAD_LIVER_ADULT,9,FALSE)</f>
        <v>121642</v>
      </c>
      <c r="E12" s="202"/>
      <c r="F12" s="41"/>
      <c r="G12" s="41"/>
      <c r="H12" s="30"/>
      <c r="I12" s="30"/>
      <c r="J12" s="30"/>
      <c r="K12" s="30"/>
    </row>
    <row r="13" spans="1:11" s="39" customFormat="1" ht="41.25" customHeight="1">
      <c r="A13" s="29">
        <v>4</v>
      </c>
      <c r="B13" s="207"/>
      <c r="C13" s="44" t="s">
        <v>393</v>
      </c>
      <c r="D13" s="158">
        <f>VLOOKUP(A13,ST_JOSEPHS_CAD_LIVER_ADULT,9,FALSE)</f>
        <v>41972</v>
      </c>
      <c r="E13" s="202"/>
      <c r="F13" s="41"/>
      <c r="G13" s="41"/>
      <c r="H13" s="30"/>
      <c r="I13" s="30"/>
      <c r="J13" s="30"/>
      <c r="K13" s="30"/>
    </row>
    <row r="14" spans="1:11" s="39" customFormat="1" ht="29.45" customHeight="1">
      <c r="A14" s="47"/>
      <c r="B14" s="207"/>
      <c r="C14" s="213" t="s">
        <v>445</v>
      </c>
      <c r="D14" s="222">
        <f>SUM(D10:D13)</f>
        <v>336759</v>
      </c>
      <c r="E14" s="207"/>
      <c r="H14" s="30"/>
      <c r="I14" s="30"/>
      <c r="J14" s="30"/>
      <c r="K14" s="30"/>
    </row>
    <row r="15" spans="1:11" s="39" customFormat="1">
      <c r="A15" s="47"/>
      <c r="B15" s="207"/>
      <c r="C15" s="207"/>
      <c r="D15" s="224"/>
      <c r="E15" s="207"/>
      <c r="H15" s="30"/>
      <c r="I15" s="30"/>
      <c r="J15" s="30"/>
      <c r="K15" s="30"/>
    </row>
    <row r="16" spans="1:11" s="39" customFormat="1" ht="41.25" customHeight="1">
      <c r="A16" s="29">
        <v>5</v>
      </c>
      <c r="B16" s="207"/>
      <c r="C16" s="44" t="s">
        <v>395</v>
      </c>
      <c r="D16" s="158">
        <f>VLOOKUP(A16,ST_JOSEPHS_CAD_LIVER_ADULT,9,FALSE)</f>
        <v>2554</v>
      </c>
      <c r="E16" s="202"/>
      <c r="F16" s="41"/>
      <c r="G16" s="41"/>
      <c r="H16" s="30"/>
      <c r="I16" s="30"/>
      <c r="J16" s="30"/>
      <c r="K16" s="30"/>
    </row>
    <row r="17" spans="1:11" s="48" customFormat="1" ht="50.45" customHeight="1">
      <c r="A17" s="29">
        <v>6</v>
      </c>
      <c r="B17" s="292"/>
      <c r="C17" s="52" t="s">
        <v>396</v>
      </c>
      <c r="D17" s="225">
        <f>VLOOKUP(A17,ST_JOSEPHS_CAD_LIVER_ADULT,9,FALSE)</f>
        <v>8014.1928120000002</v>
      </c>
      <c r="E17" s="45"/>
      <c r="F17" s="45"/>
      <c r="G17" s="45"/>
    </row>
    <row r="18" spans="1:11" s="39" customFormat="1" ht="22.5" customHeight="1">
      <c r="A18" s="47"/>
      <c r="B18" s="203"/>
      <c r="C18" s="207"/>
      <c r="D18" s="293"/>
      <c r="E18" s="207"/>
      <c r="H18" s="30"/>
      <c r="I18" s="30"/>
      <c r="J18" s="30"/>
      <c r="K18" s="30"/>
    </row>
    <row r="19" spans="1:11" s="38" customFormat="1" ht="65.45" customHeight="1">
      <c r="A19" s="37"/>
      <c r="B19" s="205"/>
      <c r="C19" s="567" t="s">
        <v>417</v>
      </c>
      <c r="D19" s="568"/>
      <c r="E19" s="568"/>
      <c r="F19" s="568"/>
      <c r="G19" s="569"/>
    </row>
    <row r="20" spans="1:11" s="39" customFormat="1">
      <c r="A20" s="47"/>
      <c r="B20" s="203"/>
      <c r="C20" s="207"/>
      <c r="D20" s="293"/>
      <c r="E20" s="207"/>
      <c r="H20" s="30"/>
      <c r="I20" s="30"/>
      <c r="J20" s="30"/>
      <c r="K20" s="30"/>
    </row>
    <row r="21" spans="1:11" s="39" customFormat="1">
      <c r="A21" s="47"/>
      <c r="B21" s="203"/>
      <c r="C21" s="218"/>
      <c r="D21" s="207"/>
      <c r="E21" s="207"/>
      <c r="H21" s="30"/>
      <c r="I21" s="30"/>
      <c r="J21" s="30"/>
      <c r="K21" s="30"/>
    </row>
    <row r="22" spans="1:11">
      <c r="A22" s="28"/>
    </row>
    <row r="23" spans="1:11">
      <c r="A23" s="28"/>
    </row>
    <row r="24" spans="1:11">
      <c r="A24" s="28"/>
    </row>
    <row r="25" spans="1:11">
      <c r="A25" s="28"/>
    </row>
    <row r="26" spans="1:11">
      <c r="A26" s="28"/>
    </row>
    <row r="27" spans="1:11">
      <c r="A27" s="28"/>
    </row>
    <row r="28" spans="1:11">
      <c r="A28" s="28"/>
    </row>
    <row r="29" spans="1:11">
      <c r="A29" s="28"/>
    </row>
    <row r="30" spans="1:11">
      <c r="A30" s="28"/>
    </row>
    <row r="31" spans="1:11">
      <c r="A31" s="28"/>
    </row>
    <row r="32" spans="1:11">
      <c r="A32" s="28"/>
    </row>
    <row r="33" spans="1:1">
      <c r="A33" s="28"/>
    </row>
    <row r="34" spans="1:1">
      <c r="A34" s="28"/>
    </row>
    <row r="35" spans="1:1">
      <c r="A35" s="28"/>
    </row>
  </sheetData>
  <sheetProtection algorithmName="SHA-512" hashValue="h5bMJ9m38ArD/w6oMUASQxwnsll7lrstVIRKpJMOAivKOtWNb5QxVF1Wbm4zmVXeQyA7dFz2WuJyPuruQSmfZA==" saltValue="5pXPcKsTzYm6t5ozBUaMKw==" spinCount="100000" sheet="1" objects="1" scenarios="1"/>
  <mergeCells count="5">
    <mergeCell ref="C19:G19"/>
    <mergeCell ref="B3:F3"/>
    <mergeCell ref="B4:F4"/>
    <mergeCell ref="B5:F5"/>
    <mergeCell ref="B6:F6"/>
  </mergeCells>
  <printOptions horizontalCentered="1"/>
  <pageMargins left="0.25" right="0.25" top="0.25" bottom="0.25" header="0.25" footer="0.25"/>
  <pageSetup scale="78"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10">
    <tabColor theme="9"/>
    <pageSetUpPr fitToPage="1"/>
  </sheetPr>
  <dimension ref="A1:K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4.75" style="290" customWidth="1"/>
    <col min="4" max="4" width="18.125" style="290" customWidth="1"/>
    <col min="5" max="5" width="29.75" style="290" customWidth="1"/>
    <col min="6" max="6" width="10" style="48" customWidth="1"/>
    <col min="7" max="7" width="11.75" style="48" customWidth="1"/>
    <col min="8" max="16384" width="9" style="48"/>
  </cols>
  <sheetData>
    <row r="1" spans="1:11" s="491" customFormat="1" ht="20.100000000000001" hidden="1" customHeight="1">
      <c r="A1" s="481" t="e" cm="1">
        <f t="array" aca="1" ref="A1" ca="1">MID(CELL("filename",A1),FIND("]",CELL("filename",A1))+1,255)</f>
        <v>#VALUE!</v>
      </c>
      <c r="B1" s="490"/>
      <c r="C1" s="29">
        <v>3</v>
      </c>
      <c r="D1" s="29">
        <v>4</v>
      </c>
    </row>
    <row r="2" spans="1:11" ht="15" customHeight="1">
      <c r="A2" s="62"/>
      <c r="B2" s="207"/>
      <c r="C2" s="207"/>
      <c r="D2" s="584"/>
      <c r="E2" s="584"/>
      <c r="F2" s="584"/>
      <c r="G2" s="584"/>
    </row>
    <row r="3" spans="1:11" ht="19.899999999999999" customHeight="1">
      <c r="A3" s="62"/>
      <c r="B3" s="570" t="s">
        <v>585</v>
      </c>
      <c r="C3" s="570"/>
      <c r="D3" s="570"/>
      <c r="E3" s="570"/>
      <c r="F3" s="570"/>
      <c r="G3" s="570"/>
    </row>
    <row r="4" spans="1:11" ht="19.899999999999999" customHeight="1">
      <c r="A4" s="62"/>
      <c r="B4" s="570" t="s">
        <v>591</v>
      </c>
      <c r="C4" s="570"/>
      <c r="D4" s="570"/>
      <c r="E4" s="570"/>
      <c r="F4" s="570"/>
      <c r="G4" s="570"/>
    </row>
    <row r="5" spans="1:11" ht="19.899999999999999" customHeight="1">
      <c r="A5" s="62"/>
      <c r="B5" s="571" t="s">
        <v>473</v>
      </c>
      <c r="C5" s="571"/>
      <c r="D5" s="571"/>
      <c r="E5" s="571"/>
      <c r="F5" s="571"/>
      <c r="G5" s="571"/>
    </row>
    <row r="6" spans="1:11" ht="19.899999999999999" customHeight="1">
      <c r="A6" s="62"/>
      <c r="B6" s="570" t="s">
        <v>587</v>
      </c>
      <c r="C6" s="570"/>
      <c r="D6" s="570"/>
      <c r="E6" s="570"/>
      <c r="F6" s="570"/>
      <c r="G6" s="570"/>
    </row>
    <row r="7" spans="1:11" ht="19.899999999999999" customHeight="1">
      <c r="A7" s="62"/>
      <c r="B7" s="204"/>
      <c r="C7" s="204"/>
      <c r="D7" s="204"/>
      <c r="E7" s="204"/>
      <c r="F7" s="32"/>
      <c r="G7" s="32"/>
    </row>
    <row r="8" spans="1:11" ht="20.100000000000001" customHeight="1">
      <c r="A8" s="62"/>
      <c r="B8" s="207"/>
      <c r="C8" s="208"/>
      <c r="D8" s="202" t="s">
        <v>386</v>
      </c>
    </row>
    <row r="9" spans="1:11" s="39" customFormat="1" ht="30.6" customHeight="1">
      <c r="A9" s="47"/>
      <c r="B9" s="207"/>
      <c r="C9" s="146" t="s">
        <v>387</v>
      </c>
      <c r="D9" s="102" t="s">
        <v>388</v>
      </c>
      <c r="E9" s="291"/>
      <c r="F9" s="41"/>
      <c r="G9" s="167"/>
    </row>
    <row r="10" spans="1:11" s="39" customFormat="1" ht="51" customHeight="1">
      <c r="A10" s="29">
        <v>1</v>
      </c>
      <c r="B10" s="207"/>
      <c r="C10" s="44" t="s">
        <v>389</v>
      </c>
      <c r="D10" s="188">
        <f>VLOOKUP(A10,ST_JOSEPHS_CAD_KIDNEY,9,FALSE)</f>
        <v>5328</v>
      </c>
      <c r="E10" s="291"/>
      <c r="F10" s="41"/>
      <c r="G10" s="41"/>
    </row>
    <row r="11" spans="1:11" s="39" customFormat="1" ht="43.9" customHeight="1">
      <c r="A11" s="29">
        <v>2</v>
      </c>
      <c r="B11" s="207"/>
      <c r="C11" s="219" t="s">
        <v>534</v>
      </c>
      <c r="D11" s="188">
        <f>VLOOKUP(A11,ST_JOSEPHS_CAD_KIDNEY,9,FALSE)</f>
        <v>126161</v>
      </c>
      <c r="E11" s="294"/>
    </row>
    <row r="12" spans="1:11" ht="38.450000000000003" customHeight="1">
      <c r="A12" s="62"/>
      <c r="B12" s="207"/>
      <c r="C12" s="221" t="s">
        <v>592</v>
      </c>
      <c r="D12" s="238">
        <f>SUM(D10:D11)</f>
        <v>131489</v>
      </c>
      <c r="E12" s="207"/>
      <c r="F12" s="39"/>
      <c r="G12" s="39"/>
    </row>
    <row r="13" spans="1:11">
      <c r="A13" s="62"/>
      <c r="B13" s="207"/>
      <c r="C13" s="218"/>
      <c r="D13" s="239"/>
      <c r="E13" s="207"/>
      <c r="F13" s="39"/>
      <c r="G13" s="39"/>
    </row>
    <row r="14" spans="1:11" s="39" customFormat="1" ht="48.6" customHeight="1">
      <c r="A14" s="29">
        <v>3</v>
      </c>
      <c r="B14" s="207"/>
      <c r="C14" s="216" t="s">
        <v>395</v>
      </c>
      <c r="D14" s="188">
        <f>VLOOKUP(A14,ST_JOSEPHS_CAD_KIDNEY,9,FALSE)</f>
        <v>2554</v>
      </c>
      <c r="E14" s="203"/>
      <c r="F14" s="30"/>
      <c r="G14" s="30"/>
    </row>
    <row r="15" spans="1:11" ht="50.45" customHeight="1">
      <c r="A15" s="29">
        <v>4</v>
      </c>
      <c r="B15" s="292"/>
      <c r="C15" s="52" t="s">
        <v>396</v>
      </c>
      <c r="D15" s="225">
        <f>VLOOKUP(A15,ST_JOSEPHS_CAD_KIDNEY,9,FALSE)</f>
        <v>8014.1928120000002</v>
      </c>
      <c r="E15" s="45"/>
      <c r="F15" s="45"/>
      <c r="G15" s="45"/>
    </row>
    <row r="16" spans="1:11" s="39" customFormat="1" ht="22.5" customHeight="1">
      <c r="A16" s="29"/>
      <c r="B16" s="203"/>
      <c r="C16" s="207"/>
      <c r="D16" s="293"/>
      <c r="E16" s="207"/>
      <c r="H16" s="30"/>
      <c r="I16" s="30"/>
      <c r="J16" s="30"/>
      <c r="K16" s="30"/>
    </row>
    <row r="17" spans="1:7" ht="57.6" customHeight="1">
      <c r="A17" s="29"/>
      <c r="B17" s="206"/>
      <c r="C17" s="567" t="s">
        <v>417</v>
      </c>
      <c r="D17" s="568"/>
      <c r="E17" s="568"/>
      <c r="F17" s="568"/>
      <c r="G17" s="569"/>
    </row>
    <row r="18" spans="1:7">
      <c r="A18" s="62"/>
    </row>
    <row r="19" spans="1:7">
      <c r="A19" s="62"/>
    </row>
    <row r="20" spans="1:7">
      <c r="A20" s="62"/>
    </row>
    <row r="21" spans="1:7">
      <c r="A21" s="62"/>
    </row>
    <row r="22" spans="1:7">
      <c r="A22" s="62"/>
    </row>
    <row r="23" spans="1:7">
      <c r="A23" s="62"/>
    </row>
    <row r="24" spans="1:7">
      <c r="A24" s="62"/>
    </row>
    <row r="25" spans="1:7">
      <c r="A25" s="62"/>
    </row>
    <row r="26" spans="1:7">
      <c r="A26" s="62"/>
    </row>
    <row r="27" spans="1:7">
      <c r="A27" s="62"/>
    </row>
    <row r="28" spans="1:7">
      <c r="A28" s="62"/>
    </row>
    <row r="29" spans="1:7">
      <c r="A29" s="62"/>
    </row>
    <row r="30" spans="1:7">
      <c r="A30" s="62"/>
    </row>
    <row r="31" spans="1:7">
      <c r="A31" s="62"/>
    </row>
    <row r="32" spans="1:7">
      <c r="A32" s="62"/>
    </row>
    <row r="33" spans="1:1">
      <c r="A33" s="62"/>
    </row>
    <row r="34" spans="1:1">
      <c r="A34" s="62"/>
    </row>
    <row r="35" spans="1:1">
      <c r="A35" s="62"/>
    </row>
  </sheetData>
  <sheetProtection algorithmName="SHA-512" hashValue="Vx1jrLnLsz6sm64iyDyvfMamd9Bq0fWXwulphH9cK2UJ+9StiwdDY/mJ8foA2Z9CdmNzPHZ54N23rbRrFJE/zA==" saltValue="DlpbFxzAJXKUFB3zZQn05w==" spinCount="100000" sheet="1" objects="1" scenarios="1"/>
  <mergeCells count="6">
    <mergeCell ref="C17:G17"/>
    <mergeCell ref="D2:G2"/>
    <mergeCell ref="B3:G3"/>
    <mergeCell ref="B4:G4"/>
    <mergeCell ref="B5:G5"/>
    <mergeCell ref="B6:G6"/>
  </mergeCells>
  <printOptions horizontalCentered="1"/>
  <pageMargins left="0.25" right="0.25" top="0.25" bottom="0.25" header="0.25" footer="0.25"/>
  <pageSetup scale="77"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11">
    <tabColor theme="9"/>
    <pageSetUpPr fitToPage="1"/>
  </sheetPr>
  <dimension ref="A1:K35"/>
  <sheetViews>
    <sheetView showGridLines="0" topLeftCell="B2" zoomScale="90" zoomScaleNormal="90" zoomScaleSheetLayoutView="70" workbookViewId="0">
      <selection activeCell="E10" sqref="E10"/>
    </sheetView>
  </sheetViews>
  <sheetFormatPr defaultColWidth="9" defaultRowHeight="12.6"/>
  <cols>
    <col min="1" max="1" width="30.625" style="48" hidden="1" customWidth="1"/>
    <col min="2" max="2" width="6.625" style="290" customWidth="1"/>
    <col min="3" max="3" width="67" style="290" customWidth="1"/>
    <col min="4" max="4" width="18.125" style="290" customWidth="1"/>
    <col min="5" max="5" width="13.25" style="290" customWidth="1"/>
    <col min="6" max="6" width="10" style="48" customWidth="1"/>
    <col min="7" max="7" width="11.75" style="48" customWidth="1"/>
    <col min="8" max="8" width="9" style="48" customWidth="1"/>
    <col min="9" max="16384" width="9" style="48"/>
  </cols>
  <sheetData>
    <row r="1" spans="1:8" s="491" customFormat="1" ht="20.100000000000001" hidden="1" customHeight="1">
      <c r="A1" s="481" t="e" cm="1">
        <f t="array" aca="1" ref="A1" ca="1">MID(CELL("filename",A1),FIND("]",CELL("filename",A1))+1,255)</f>
        <v>#VALUE!</v>
      </c>
      <c r="B1" s="490"/>
      <c r="C1" s="29">
        <v>3</v>
      </c>
      <c r="D1" s="29">
        <v>4</v>
      </c>
    </row>
    <row r="2" spans="1:8" ht="15" customHeight="1">
      <c r="A2" s="62"/>
      <c r="B2" s="207"/>
      <c r="C2" s="207"/>
      <c r="D2" s="584"/>
      <c r="E2" s="584"/>
      <c r="F2" s="584"/>
      <c r="G2" s="584"/>
      <c r="H2" s="584"/>
    </row>
    <row r="3" spans="1:8" ht="19.899999999999999" customHeight="1">
      <c r="A3" s="62"/>
      <c r="B3" s="570" t="s">
        <v>585</v>
      </c>
      <c r="C3" s="570"/>
      <c r="D3" s="570"/>
      <c r="E3" s="570"/>
      <c r="F3" s="570"/>
      <c r="G3" s="570"/>
    </row>
    <row r="4" spans="1:8" ht="19.899999999999999" customHeight="1">
      <c r="A4" s="62"/>
      <c r="B4" s="570" t="s">
        <v>593</v>
      </c>
      <c r="C4" s="570"/>
      <c r="D4" s="570"/>
      <c r="E4" s="570"/>
      <c r="F4" s="570"/>
      <c r="G4" s="570"/>
    </row>
    <row r="5" spans="1:8" ht="19.899999999999999" customHeight="1">
      <c r="A5" s="62"/>
      <c r="B5" s="571" t="s">
        <v>473</v>
      </c>
      <c r="C5" s="571"/>
      <c r="D5" s="571"/>
      <c r="E5" s="571"/>
      <c r="F5" s="571"/>
      <c r="G5" s="571"/>
    </row>
    <row r="6" spans="1:8" ht="19.899999999999999" customHeight="1">
      <c r="A6" s="62"/>
      <c r="B6" s="570" t="s">
        <v>587</v>
      </c>
      <c r="C6" s="570"/>
      <c r="D6" s="570"/>
      <c r="E6" s="570"/>
      <c r="F6" s="570"/>
      <c r="G6" s="570"/>
    </row>
    <row r="7" spans="1:8" ht="19.899999999999999" customHeight="1">
      <c r="A7" s="62"/>
      <c r="B7" s="204"/>
      <c r="C7" s="204"/>
      <c r="D7" s="204"/>
      <c r="E7" s="204"/>
      <c r="F7" s="32"/>
      <c r="G7" s="32"/>
    </row>
    <row r="8" spans="1:8" ht="22.5" customHeight="1">
      <c r="A8" s="62"/>
      <c r="B8" s="207"/>
      <c r="C8" s="207"/>
      <c r="D8" s="291" t="s">
        <v>386</v>
      </c>
      <c r="E8" s="207"/>
      <c r="F8" s="39"/>
      <c r="G8" s="39"/>
    </row>
    <row r="9" spans="1:8" s="39" customFormat="1" ht="18.600000000000001">
      <c r="A9" s="47"/>
      <c r="B9" s="207"/>
      <c r="C9" s="146" t="s">
        <v>387</v>
      </c>
      <c r="D9" s="102" t="s">
        <v>388</v>
      </c>
      <c r="E9" s="291"/>
      <c r="F9" s="41"/>
      <c r="G9" s="167"/>
    </row>
    <row r="10" spans="1:8" s="39" customFormat="1" ht="52.5" customHeight="1">
      <c r="A10" s="29">
        <v>1</v>
      </c>
      <c r="B10" s="207"/>
      <c r="C10" s="219" t="s">
        <v>594</v>
      </c>
      <c r="D10" s="188">
        <f>VLOOKUP(A10,ST_JOSEPHS_LIVING_KDY,9,FALSE)</f>
        <v>4392</v>
      </c>
      <c r="E10" s="291"/>
      <c r="F10" s="41"/>
      <c r="G10" s="41"/>
    </row>
    <row r="11" spans="1:8" s="39" customFormat="1" ht="51.95" customHeight="1">
      <c r="A11" s="29">
        <v>2</v>
      </c>
      <c r="B11" s="207"/>
      <c r="C11" s="219" t="s">
        <v>534</v>
      </c>
      <c r="D11" s="188">
        <f>VLOOKUP(A11,ST_JOSEPHS_LIVING_KDY,9,FALSE)</f>
        <v>93047</v>
      </c>
      <c r="E11" s="291"/>
      <c r="F11" s="41"/>
      <c r="G11" s="41"/>
    </row>
    <row r="12" spans="1:8" s="39" customFormat="1" ht="49.5" customHeight="1">
      <c r="A12" s="29">
        <v>3</v>
      </c>
      <c r="B12" s="207"/>
      <c r="C12" s="219" t="s">
        <v>535</v>
      </c>
      <c r="D12" s="188">
        <f>VLOOKUP(A12,ST_JOSEPHS_LIVING_KDY,9,FALSE)</f>
        <v>20008</v>
      </c>
      <c r="E12" s="291"/>
      <c r="F12" s="41"/>
      <c r="G12" s="41"/>
    </row>
    <row r="13" spans="1:8" ht="49.5" customHeight="1">
      <c r="A13" s="62"/>
      <c r="B13" s="207"/>
      <c r="C13" s="221" t="s">
        <v>595</v>
      </c>
      <c r="D13" s="238">
        <f>SUM(D10:D12)</f>
        <v>117447</v>
      </c>
      <c r="E13" s="207"/>
      <c r="F13" s="39"/>
      <c r="G13" s="39"/>
    </row>
    <row r="14" spans="1:8">
      <c r="A14" s="62"/>
      <c r="B14" s="207"/>
      <c r="C14" s="218"/>
      <c r="D14" s="239"/>
      <c r="E14" s="207"/>
      <c r="F14" s="39"/>
      <c r="G14" s="39"/>
    </row>
    <row r="15" spans="1:8" s="39" customFormat="1" ht="45" customHeight="1">
      <c r="A15" s="29">
        <v>4</v>
      </c>
      <c r="B15" s="207"/>
      <c r="C15" s="219" t="s">
        <v>395</v>
      </c>
      <c r="D15" s="188">
        <f>VLOOKUP(A15,ST_JOSEPHS_LIVING_KDY,9,FALSE)</f>
        <v>2554</v>
      </c>
      <c r="E15" s="291"/>
      <c r="F15" s="41"/>
      <c r="G15" s="41"/>
    </row>
    <row r="16" spans="1:8" ht="50.45" customHeight="1">
      <c r="A16" s="29">
        <v>5</v>
      </c>
      <c r="B16" s="292"/>
      <c r="C16" s="52" t="s">
        <v>396</v>
      </c>
      <c r="D16" s="225">
        <f>VLOOKUP(A16,ST_JOSEPHS_LIVING_KDY,9,FALSE)</f>
        <v>8014.1928120000002</v>
      </c>
      <c r="E16" s="45"/>
      <c r="F16" s="45"/>
      <c r="G16" s="45"/>
    </row>
    <row r="17" spans="1:11" s="39" customFormat="1" ht="22.5" customHeight="1">
      <c r="A17" s="47"/>
      <c r="B17" s="203"/>
      <c r="C17" s="207"/>
      <c r="D17" s="293"/>
      <c r="E17" s="207"/>
      <c r="H17" s="30"/>
      <c r="I17" s="30"/>
      <c r="J17" s="30"/>
      <c r="K17" s="30"/>
    </row>
    <row r="18" spans="1:11" ht="64.5" customHeight="1">
      <c r="A18" s="62"/>
      <c r="B18" s="206"/>
      <c r="C18" s="567" t="s">
        <v>417</v>
      </c>
      <c r="D18" s="568"/>
      <c r="E18" s="568"/>
      <c r="F18" s="568"/>
      <c r="G18" s="569"/>
    </row>
    <row r="19" spans="1:11">
      <c r="A19" s="62"/>
    </row>
    <row r="20" spans="1:11">
      <c r="A20" s="62"/>
    </row>
    <row r="21" spans="1:11">
      <c r="A21" s="62"/>
    </row>
    <row r="22" spans="1:11">
      <c r="A22" s="62"/>
    </row>
    <row r="23" spans="1:11">
      <c r="A23" s="62"/>
    </row>
    <row r="24" spans="1:11">
      <c r="A24" s="62"/>
    </row>
    <row r="25" spans="1:11">
      <c r="A25" s="62"/>
    </row>
    <row r="26" spans="1:11">
      <c r="A26" s="62"/>
    </row>
    <row r="27" spans="1:11">
      <c r="A27" s="62"/>
    </row>
    <row r="28" spans="1:11">
      <c r="A28" s="62"/>
    </row>
    <row r="29" spans="1:11">
      <c r="A29" s="62"/>
    </row>
    <row r="30" spans="1:11">
      <c r="A30" s="62"/>
    </row>
    <row r="31" spans="1:11">
      <c r="A31" s="62"/>
    </row>
    <row r="32" spans="1:11">
      <c r="A32" s="62"/>
    </row>
    <row r="33" spans="1:1">
      <c r="A33" s="62"/>
    </row>
    <row r="34" spans="1:1">
      <c r="A34" s="62"/>
    </row>
    <row r="35" spans="1:1">
      <c r="A35" s="62"/>
    </row>
  </sheetData>
  <sheetProtection algorithmName="SHA-512" hashValue="dnNeJN6PV/+WIhBqG5O8y2mEZNzION7tqBmUcj1Ce+0nlTdSP2VVtph6cYhT0eTXBStoJH06Kna0pcTLGFnzWQ==" saltValue="byV5h5wo+tmlcm+oQAvAvA==" spinCount="100000" sheet="1" objects="1" scenarios="1"/>
  <mergeCells count="6">
    <mergeCell ref="C18:G18"/>
    <mergeCell ref="D2:H2"/>
    <mergeCell ref="B3:G3"/>
    <mergeCell ref="B4:G4"/>
    <mergeCell ref="B5:G5"/>
    <mergeCell ref="B6:G6"/>
  </mergeCells>
  <printOptions horizontalCentered="1"/>
  <pageMargins left="0.25" right="0.25" top="0.25" bottom="0.25" header="0.25" footer="0.25"/>
  <pageSetup scale="80"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13">
    <tabColor rgb="FF996633"/>
    <pageSetUpPr fitToPage="1"/>
  </sheetPr>
  <dimension ref="A1:N39"/>
  <sheetViews>
    <sheetView showGridLines="0" topLeftCell="B2" zoomScale="90" zoomScaleNormal="90" workbookViewId="0">
      <selection activeCell="E10" sqref="E10"/>
    </sheetView>
  </sheetViews>
  <sheetFormatPr defaultColWidth="8.875" defaultRowHeight="14.45"/>
  <cols>
    <col min="1" max="1" width="30.625" style="60" hidden="1" customWidth="1"/>
    <col min="2" max="2" width="6.625" style="247" customWidth="1"/>
    <col min="3" max="3" width="75.25" style="247" customWidth="1"/>
    <col min="4" max="4" width="20.25" style="247" customWidth="1"/>
    <col min="5" max="5" width="10" style="247" customWidth="1"/>
    <col min="6" max="16384" width="8.875" style="60"/>
  </cols>
  <sheetData>
    <row r="1" spans="1:14" s="489" customFormat="1" ht="20.100000000000001" hidden="1" customHeight="1">
      <c r="A1" s="481" t="e" cm="1">
        <f t="array" aca="1" ref="A1" ca="1">MID(CELL("filename",A1),FIND("]",CELL("filename",A1))+1,255)</f>
        <v>#VALUE!</v>
      </c>
      <c r="B1" s="487"/>
      <c r="C1" s="488">
        <v>3</v>
      </c>
      <c r="D1" s="29">
        <v>4</v>
      </c>
    </row>
    <row r="2" spans="1:14" s="77" customFormat="1">
      <c r="A2" s="54"/>
      <c r="B2" s="284"/>
      <c r="C2" s="284"/>
      <c r="D2" s="284"/>
      <c r="E2" s="284"/>
    </row>
    <row r="3" spans="1:14" s="77" customFormat="1" ht="21" customHeight="1">
      <c r="A3" s="54"/>
      <c r="B3" s="594" t="s">
        <v>596</v>
      </c>
      <c r="C3" s="594"/>
      <c r="D3" s="594"/>
      <c r="E3" s="594"/>
      <c r="F3" s="594"/>
      <c r="G3" s="594"/>
    </row>
    <row r="4" spans="1:14" s="77" customFormat="1" ht="21" customHeight="1">
      <c r="A4" s="54"/>
      <c r="B4" s="594" t="s">
        <v>424</v>
      </c>
      <c r="C4" s="594"/>
      <c r="D4" s="594"/>
      <c r="E4" s="594"/>
      <c r="F4" s="594"/>
      <c r="G4" s="594"/>
      <c r="H4" s="72"/>
      <c r="I4" s="72"/>
      <c r="J4" s="72"/>
      <c r="K4" s="72"/>
      <c r="L4" s="72"/>
      <c r="M4" s="72"/>
      <c r="N4" s="72"/>
    </row>
    <row r="5" spans="1:14" s="77" customFormat="1" ht="21" customHeight="1">
      <c r="A5" s="54"/>
      <c r="B5" s="590" t="s">
        <v>473</v>
      </c>
      <c r="C5" s="590"/>
      <c r="D5" s="590"/>
      <c r="E5" s="590"/>
      <c r="F5" s="590"/>
      <c r="G5" s="590"/>
    </row>
    <row r="6" spans="1:14" s="77" customFormat="1" ht="21" customHeight="1">
      <c r="A6" s="54"/>
      <c r="B6" s="594" t="s">
        <v>597</v>
      </c>
      <c r="C6" s="594"/>
      <c r="D6" s="594"/>
      <c r="E6" s="594"/>
      <c r="F6" s="594"/>
      <c r="G6" s="594"/>
    </row>
    <row r="7" spans="1:14" s="77" customFormat="1" ht="21" customHeight="1">
      <c r="A7" s="54"/>
      <c r="B7" s="620" t="s">
        <v>598</v>
      </c>
      <c r="C7" s="620"/>
      <c r="D7" s="620"/>
      <c r="E7" s="620"/>
      <c r="F7" s="620"/>
      <c r="G7" s="620"/>
    </row>
    <row r="8" spans="1:14">
      <c r="A8" s="65"/>
    </row>
    <row r="9" spans="1:14" ht="18.600000000000001">
      <c r="A9" s="65"/>
      <c r="C9" s="621"/>
      <c r="D9" s="621"/>
      <c r="G9" s="169"/>
    </row>
    <row r="10" spans="1:14" ht="45.95" customHeight="1">
      <c r="A10" s="65"/>
      <c r="C10" s="263" t="s">
        <v>387</v>
      </c>
      <c r="D10" s="78" t="s">
        <v>599</v>
      </c>
    </row>
    <row r="11" spans="1:14" ht="45" customHeight="1">
      <c r="A11" s="29">
        <v>1</v>
      </c>
      <c r="C11" s="265" t="s">
        <v>508</v>
      </c>
      <c r="D11" s="191" t="str">
        <f>VLOOKUP(A11,STANFORD_HEART,9,FALSE)</f>
        <v>35% of billed charges</v>
      </c>
    </row>
    <row r="12" spans="1:14" ht="30" customHeight="1">
      <c r="A12" s="29">
        <v>2</v>
      </c>
      <c r="C12" s="266" t="s">
        <v>391</v>
      </c>
      <c r="D12" s="188">
        <f>VLOOKUP(A12,STANFORD_HEART,9,FALSE)</f>
        <v>263680</v>
      </c>
    </row>
    <row r="13" spans="1:14" ht="30" customHeight="1">
      <c r="A13" s="29">
        <v>3</v>
      </c>
      <c r="C13" s="265" t="s">
        <v>392</v>
      </c>
      <c r="D13" s="188">
        <f>VLOOKUP(A13,STANFORD_HEART,9,FALSE)</f>
        <v>87076</v>
      </c>
    </row>
    <row r="14" spans="1:14" ht="30" customHeight="1">
      <c r="A14" s="29">
        <v>4</v>
      </c>
      <c r="C14" s="265" t="s">
        <v>487</v>
      </c>
      <c r="D14" s="188">
        <f>VLOOKUP(A14,STANFORD_HEART,9,FALSE)</f>
        <v>35568</v>
      </c>
    </row>
    <row r="15" spans="1:14" ht="35.450000000000003" customHeight="1">
      <c r="A15" s="62"/>
      <c r="C15" s="269" t="s">
        <v>600</v>
      </c>
      <c r="D15" s="270">
        <f>SUM(D12:D14)</f>
        <v>386324</v>
      </c>
    </row>
    <row r="16" spans="1:14" ht="30" customHeight="1">
      <c r="A16" s="65"/>
      <c r="C16" s="269"/>
      <c r="D16" s="271"/>
      <c r="E16" s="271"/>
    </row>
    <row r="17" spans="1:8" s="73" customFormat="1" ht="35.1" customHeight="1">
      <c r="A17" s="29">
        <v>5</v>
      </c>
      <c r="B17" s="272"/>
      <c r="C17" s="273" t="s">
        <v>601</v>
      </c>
      <c r="D17" s="188">
        <f>VLOOKUP(A17,STANFORD_HEART,9,FALSE)</f>
        <v>170</v>
      </c>
      <c r="E17" s="274"/>
    </row>
    <row r="18" spans="1:8" s="73" customFormat="1" ht="12.6">
      <c r="A18" s="79"/>
      <c r="B18" s="272"/>
      <c r="C18" s="272"/>
      <c r="D18" s="272"/>
      <c r="E18" s="285"/>
    </row>
    <row r="19" spans="1:8" s="77" customFormat="1" ht="33" customHeight="1">
      <c r="A19" s="54"/>
      <c r="B19" s="284"/>
      <c r="C19" s="604" t="s">
        <v>489</v>
      </c>
      <c r="D19" s="605"/>
      <c r="E19" s="605"/>
      <c r="F19" s="605"/>
      <c r="G19" s="606"/>
    </row>
    <row r="20" spans="1:8" s="77" customFormat="1" ht="14.45" customHeight="1">
      <c r="A20" s="54"/>
      <c r="B20" s="284"/>
      <c r="C20" s="277"/>
      <c r="D20" s="277"/>
      <c r="E20" s="277"/>
      <c r="F20" s="74"/>
      <c r="G20" s="74"/>
    </row>
    <row r="21" spans="1:8" s="77" customFormat="1">
      <c r="A21" s="54"/>
      <c r="B21" s="284"/>
      <c r="C21" s="286"/>
      <c r="D21" s="287" t="s">
        <v>409</v>
      </c>
      <c r="E21" s="288"/>
      <c r="F21" s="80"/>
    </row>
    <row r="22" spans="1:8" s="77" customFormat="1" ht="53.1" customHeight="1">
      <c r="A22" s="29">
        <v>6</v>
      </c>
      <c r="B22" s="284"/>
      <c r="C22" s="289" t="s">
        <v>602</v>
      </c>
      <c r="D22" s="248">
        <f>VLOOKUP(A22,STANFORD_HEART,9,FALSE)</f>
        <v>965805</v>
      </c>
      <c r="E22" s="203"/>
      <c r="F22" s="30"/>
      <c r="G22" s="30"/>
    </row>
    <row r="23" spans="1:8" ht="36.950000000000003" customHeight="1">
      <c r="A23" s="29">
        <v>7</v>
      </c>
      <c r="C23" s="258" t="s">
        <v>411</v>
      </c>
      <c r="D23" s="259">
        <f>VLOOKUP(A23,STANFORD_HEART,9,FALSE)</f>
        <v>0.4</v>
      </c>
    </row>
    <row r="24" spans="1:8">
      <c r="A24" s="65"/>
      <c r="C24" s="275"/>
      <c r="D24" s="283"/>
    </row>
    <row r="25" spans="1:8" ht="31.5" customHeight="1">
      <c r="A25" s="29">
        <v>8</v>
      </c>
      <c r="C25" s="61" t="s">
        <v>603</v>
      </c>
      <c r="D25" s="259">
        <f>VLOOKUP(A25,STANFORD_HEART,9,FALSE)</f>
        <v>0.4</v>
      </c>
    </row>
    <row r="26" spans="1:8" ht="23.1" customHeight="1">
      <c r="A26" s="65"/>
    </row>
    <row r="27" spans="1:8" s="39" customFormat="1" ht="68.25" customHeight="1">
      <c r="A27" s="47"/>
      <c r="B27" s="207"/>
      <c r="C27" s="598" t="s">
        <v>429</v>
      </c>
      <c r="D27" s="599"/>
      <c r="E27" s="599"/>
      <c r="F27" s="599"/>
      <c r="G27" s="600"/>
      <c r="H27" s="48"/>
    </row>
    <row r="28" spans="1:8">
      <c r="A28" s="65"/>
    </row>
    <row r="29" spans="1:8">
      <c r="A29" s="65"/>
    </row>
    <row r="30" spans="1:8">
      <c r="A30" s="65"/>
    </row>
    <row r="31" spans="1:8">
      <c r="A31" s="65"/>
    </row>
    <row r="32" spans="1:8">
      <c r="A32" s="65"/>
    </row>
    <row r="33" spans="1:1">
      <c r="A33" s="65"/>
    </row>
    <row r="34" spans="1:1">
      <c r="A34" s="65"/>
    </row>
    <row r="35" spans="1:1">
      <c r="A35" s="65"/>
    </row>
    <row r="39" spans="1:1" ht="18" customHeight="1"/>
  </sheetData>
  <sheetProtection algorithmName="SHA-512" hashValue="+O609+5f1PZy1bmZXV+OUoPb7SUD6pqGSyivxVX8/z7fB6AjL1ZPcU8sbUM/jpgng/U0+ApGeNB/yYtb4oIA9A==" saltValue="9WI8NZMYoJ2pnfXVTPlf0w==" spinCount="100000" sheet="1" objects="1" scenarios="1"/>
  <mergeCells count="8">
    <mergeCell ref="C27:G27"/>
    <mergeCell ref="C19:G19"/>
    <mergeCell ref="B3:G3"/>
    <mergeCell ref="B4:G4"/>
    <mergeCell ref="B5:G5"/>
    <mergeCell ref="B6:G6"/>
    <mergeCell ref="B7:G7"/>
    <mergeCell ref="C9:D9"/>
  </mergeCells>
  <printOptions horizontalCentered="1"/>
  <pageMargins left="0.7" right="0.7" top="0.75" bottom="0.75" header="0.3" footer="0.3"/>
  <pageSetup scale="72"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12">
    <tabColor rgb="FF996633"/>
    <pageSetUpPr fitToPage="1"/>
  </sheetPr>
  <dimension ref="A1:N35"/>
  <sheetViews>
    <sheetView showGridLines="0" topLeftCell="B2" zoomScale="90" zoomScaleNormal="90" workbookViewId="0">
      <selection activeCell="E10" sqref="E10"/>
    </sheetView>
  </sheetViews>
  <sheetFormatPr defaultColWidth="8.875" defaultRowHeight="14.45"/>
  <cols>
    <col min="1" max="1" width="30.625" style="60" hidden="1" customWidth="1"/>
    <col min="2" max="2" width="6.625" style="247" customWidth="1"/>
    <col min="3" max="3" width="75.875" style="247" customWidth="1"/>
    <col min="4" max="4" width="21.875" style="247" customWidth="1"/>
    <col min="5" max="5" width="10" style="247" customWidth="1"/>
    <col min="6" max="6" width="8.875" style="60"/>
    <col min="7" max="7" width="5.375" style="60" customWidth="1"/>
    <col min="8" max="16384" width="8.875" style="60"/>
  </cols>
  <sheetData>
    <row r="1" spans="1:14" s="489" customFormat="1" ht="20.100000000000001" hidden="1" customHeight="1">
      <c r="A1" s="481" t="e" cm="1">
        <f t="array" aca="1" ref="A1" ca="1">MID(CELL("filename",A1),FIND("]",CELL("filename",A1))+1,255)</f>
        <v>#VALUE!</v>
      </c>
      <c r="B1" s="487"/>
      <c r="C1" s="488">
        <v>3</v>
      </c>
      <c r="D1" s="29">
        <v>4</v>
      </c>
    </row>
    <row r="2" spans="1:14" s="71" customFormat="1">
      <c r="A2" s="70"/>
      <c r="B2" s="262"/>
      <c r="C2" s="262"/>
      <c r="D2" s="262"/>
      <c r="E2" s="262"/>
    </row>
    <row r="3" spans="1:14" s="71" customFormat="1" ht="21" customHeight="1">
      <c r="A3" s="70"/>
      <c r="B3" s="594" t="s">
        <v>596</v>
      </c>
      <c r="C3" s="594"/>
      <c r="D3" s="594"/>
      <c r="E3" s="594"/>
      <c r="F3" s="594"/>
      <c r="G3" s="594"/>
      <c r="H3" s="594"/>
    </row>
    <row r="4" spans="1:14" s="71" customFormat="1" ht="21" customHeight="1">
      <c r="A4" s="70"/>
      <c r="B4" s="594" t="s">
        <v>604</v>
      </c>
      <c r="C4" s="594"/>
      <c r="D4" s="594"/>
      <c r="E4" s="594"/>
      <c r="F4" s="594"/>
      <c r="G4" s="594"/>
      <c r="H4" s="594"/>
      <c r="I4" s="72"/>
      <c r="J4" s="72"/>
      <c r="K4" s="72"/>
      <c r="L4" s="72"/>
      <c r="M4" s="72"/>
      <c r="N4" s="72"/>
    </row>
    <row r="5" spans="1:14" s="71" customFormat="1" ht="21" customHeight="1">
      <c r="A5" s="70"/>
      <c r="B5" s="590" t="s">
        <v>473</v>
      </c>
      <c r="C5" s="590"/>
      <c r="D5" s="590"/>
      <c r="E5" s="590"/>
      <c r="F5" s="590"/>
      <c r="G5" s="590"/>
      <c r="H5" s="590"/>
    </row>
    <row r="6" spans="1:14" s="71" customFormat="1" ht="21" customHeight="1">
      <c r="A6" s="70"/>
      <c r="B6" s="594" t="s">
        <v>597</v>
      </c>
      <c r="C6" s="594"/>
      <c r="D6" s="594"/>
      <c r="E6" s="594"/>
      <c r="F6" s="594"/>
      <c r="G6" s="594"/>
      <c r="H6" s="594"/>
    </row>
    <row r="7" spans="1:14" s="71" customFormat="1" ht="21" customHeight="1">
      <c r="A7" s="70"/>
      <c r="B7" s="622" t="s">
        <v>598</v>
      </c>
      <c r="C7" s="622"/>
      <c r="D7" s="622"/>
      <c r="E7" s="622"/>
      <c r="F7" s="622"/>
      <c r="G7" s="622"/>
      <c r="H7" s="622"/>
    </row>
    <row r="8" spans="1:14" ht="18.600000000000001">
      <c r="A8" s="65"/>
      <c r="C8" s="621"/>
      <c r="D8" s="621"/>
    </row>
    <row r="9" spans="1:14" ht="45.95" customHeight="1">
      <c r="A9" s="65"/>
      <c r="C9" s="263" t="s">
        <v>387</v>
      </c>
      <c r="D9" s="264" t="s">
        <v>386</v>
      </c>
      <c r="G9" s="169"/>
    </row>
    <row r="10" spans="1:14" ht="48" customHeight="1">
      <c r="A10" s="29">
        <v>1</v>
      </c>
      <c r="C10" s="265" t="s">
        <v>508</v>
      </c>
      <c r="D10" s="191" t="str">
        <f>VLOOKUP(A10,STANFORD_SINGLE_DOUBL_LUNG,9,FALSE)</f>
        <v>35% of billed charges</v>
      </c>
    </row>
    <row r="11" spans="1:14" ht="30" customHeight="1">
      <c r="A11" s="29">
        <v>2</v>
      </c>
      <c r="C11" s="266" t="s">
        <v>391</v>
      </c>
      <c r="D11" s="188">
        <f>VLOOKUP(A11,STANFORD_SINGLE_DOUBL_LUNG,9,FALSE)</f>
        <v>245285</v>
      </c>
    </row>
    <row r="12" spans="1:14" ht="30" customHeight="1">
      <c r="A12" s="29">
        <v>3</v>
      </c>
      <c r="C12" s="267" t="s">
        <v>392</v>
      </c>
      <c r="D12" s="188">
        <f>VLOOKUP(A12,STANFORD_SINGLE_DOUBL_LUNG,9,FALSE)</f>
        <v>144381</v>
      </c>
      <c r="E12" s="268"/>
    </row>
    <row r="13" spans="1:14" ht="30" customHeight="1">
      <c r="A13" s="29">
        <v>4</v>
      </c>
      <c r="C13" s="267" t="s">
        <v>487</v>
      </c>
      <c r="D13" s="188">
        <f>VLOOKUP(A13,STANFORD_SINGLE_DOUBL_LUNG,9,FALSE)</f>
        <v>31694</v>
      </c>
      <c r="E13" s="268"/>
    </row>
    <row r="14" spans="1:14" ht="30" customHeight="1">
      <c r="A14" s="62"/>
      <c r="C14" s="269" t="s">
        <v>600</v>
      </c>
      <c r="D14" s="270">
        <f>SUM(D11:D13)</f>
        <v>421360</v>
      </c>
    </row>
    <row r="15" spans="1:14" ht="30" customHeight="1">
      <c r="A15" s="65"/>
      <c r="C15" s="269"/>
      <c r="D15" s="271"/>
      <c r="E15" s="271"/>
    </row>
    <row r="16" spans="1:14" s="73" customFormat="1" ht="35.1" customHeight="1">
      <c r="A16" s="29">
        <v>5</v>
      </c>
      <c r="B16" s="272"/>
      <c r="C16" s="273" t="s">
        <v>601</v>
      </c>
      <c r="D16" s="188">
        <f>VLOOKUP(A16,STANFORD_SINGLE_DOUBL_LUNG,9,FALSE)</f>
        <v>170</v>
      </c>
      <c r="E16" s="274"/>
    </row>
    <row r="17" spans="1:7">
      <c r="A17" s="54"/>
      <c r="C17" s="275"/>
      <c r="D17" s="276"/>
    </row>
    <row r="18" spans="1:7" s="71" customFormat="1" ht="35.1" customHeight="1">
      <c r="A18" s="54"/>
      <c r="B18" s="262"/>
      <c r="C18" s="604" t="s">
        <v>489</v>
      </c>
      <c r="D18" s="605"/>
      <c r="E18" s="605"/>
      <c r="F18" s="605"/>
      <c r="G18" s="606"/>
    </row>
    <row r="19" spans="1:7" s="71" customFormat="1" ht="14.45" customHeight="1">
      <c r="A19" s="54"/>
      <c r="B19" s="262"/>
      <c r="C19" s="277"/>
      <c r="D19" s="277"/>
      <c r="E19" s="277"/>
      <c r="F19" s="74"/>
      <c r="G19" s="74"/>
    </row>
    <row r="20" spans="1:7" s="71" customFormat="1">
      <c r="A20" s="70"/>
      <c r="B20" s="262"/>
      <c r="C20" s="278"/>
      <c r="D20" s="279" t="s">
        <v>409</v>
      </c>
      <c r="E20" s="280"/>
      <c r="F20" s="76"/>
    </row>
    <row r="21" spans="1:7" s="71" customFormat="1" ht="62.45" customHeight="1">
      <c r="A21" s="29">
        <v>6</v>
      </c>
      <c r="B21" s="262"/>
      <c r="C21" s="281" t="s">
        <v>605</v>
      </c>
      <c r="D21" s="282">
        <f>VLOOKUP(A21,STANFORD_SINGLE_DOUBL_LUNG,9,FALSE)</f>
        <v>1073118</v>
      </c>
      <c r="E21" s="203"/>
      <c r="F21" s="30"/>
      <c r="G21" s="30"/>
    </row>
    <row r="22" spans="1:7" s="71" customFormat="1" ht="38.1" customHeight="1">
      <c r="A22" s="29">
        <v>7</v>
      </c>
      <c r="B22" s="262"/>
      <c r="C22" s="258" t="s">
        <v>411</v>
      </c>
      <c r="D22" s="259">
        <f>VLOOKUP(A22,STANFORD_SINGLE_DOUBL_LUNG,9,FALSE)</f>
        <v>0.4</v>
      </c>
      <c r="E22" s="203"/>
      <c r="F22" s="30"/>
      <c r="G22" s="30"/>
    </row>
    <row r="23" spans="1:7" s="30" customFormat="1" ht="15" customHeight="1">
      <c r="A23" s="65"/>
      <c r="B23" s="203"/>
      <c r="C23" s="203"/>
      <c r="D23" s="203"/>
      <c r="E23" s="203"/>
    </row>
    <row r="24" spans="1:7" ht="33.6" customHeight="1">
      <c r="A24" s="29">
        <v>8</v>
      </c>
      <c r="C24" s="61" t="s">
        <v>603</v>
      </c>
      <c r="D24" s="259">
        <f>VLOOKUP(A24,STANFORD_SINGLE_DOUBL_LUNG,9,FALSE)</f>
        <v>0.4</v>
      </c>
    </row>
    <row r="25" spans="1:7">
      <c r="A25" s="65"/>
      <c r="C25" s="275"/>
      <c r="D25" s="283"/>
    </row>
    <row r="26" spans="1:7">
      <c r="A26" s="65"/>
      <c r="C26" s="275"/>
      <c r="D26" s="283"/>
    </row>
    <row r="27" spans="1:7">
      <c r="A27" s="65"/>
    </row>
    <row r="28" spans="1:7">
      <c r="A28" s="65"/>
    </row>
    <row r="29" spans="1:7">
      <c r="A29" s="65"/>
    </row>
    <row r="30" spans="1:7">
      <c r="A30" s="65"/>
    </row>
    <row r="31" spans="1:7">
      <c r="A31" s="65"/>
    </row>
    <row r="32" spans="1:7">
      <c r="A32" s="65"/>
    </row>
    <row r="33" spans="1:1" ht="18" customHeight="1">
      <c r="A33" s="65"/>
    </row>
    <row r="34" spans="1:1">
      <c r="A34" s="65"/>
    </row>
    <row r="35" spans="1:1">
      <c r="A35" s="65"/>
    </row>
  </sheetData>
  <sheetProtection algorithmName="SHA-512" hashValue="8EDEP4YW2ktNuqC4Ivv57bKOI0tFMqq9vow8s0/M7qStitLu/tX4T5OSp/Pg00ZO1xuJMvRkInTgTzkOR2SReg==" saltValue="H8slwPyBW7cmhxcNcbDOOA==" spinCount="100000" sheet="1" objects="1" scenarios="1"/>
  <mergeCells count="7">
    <mergeCell ref="C18:G18"/>
    <mergeCell ref="B3:H3"/>
    <mergeCell ref="B4:H4"/>
    <mergeCell ref="B5:H5"/>
    <mergeCell ref="B6:H6"/>
    <mergeCell ref="B7:H7"/>
    <mergeCell ref="C8:D8"/>
  </mergeCells>
  <printOptions horizontalCentered="1"/>
  <pageMargins left="0.7" right="0.7" top="0.75" bottom="0.75" header="0.3" footer="0.3"/>
  <pageSetup scale="66"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14">
    <tabColor rgb="FF996633"/>
    <pageSetUpPr fitToPage="1"/>
  </sheetPr>
  <dimension ref="A1:I35"/>
  <sheetViews>
    <sheetView showGridLines="0" topLeftCell="B2" zoomScale="90" zoomScaleNormal="90" workbookViewId="0"/>
  </sheetViews>
  <sheetFormatPr defaultColWidth="8.875" defaultRowHeight="14.45"/>
  <cols>
    <col min="1" max="1" width="30.625" style="56" hidden="1" customWidth="1"/>
    <col min="2" max="2" width="6.625" style="241" customWidth="1"/>
    <col min="3" max="3" width="74.125" style="241" customWidth="1"/>
    <col min="4" max="4" width="18.375" style="241" customWidth="1"/>
    <col min="5" max="5" width="13.5" style="241" bestFit="1" customWidth="1"/>
    <col min="6" max="16384" width="8.875" style="56"/>
  </cols>
  <sheetData>
    <row r="1" spans="1:8" s="486" customFormat="1" ht="20.100000000000001" hidden="1" customHeight="1">
      <c r="A1" s="481" t="e" cm="1">
        <f t="array" aca="1" ref="A1" ca="1">MID(CELL("filename",A1),FIND("]",CELL("filename",A1))+1,255)</f>
        <v>#VALUE!</v>
      </c>
      <c r="B1" s="484"/>
      <c r="C1" s="485">
        <v>3</v>
      </c>
      <c r="D1" s="29">
        <v>4</v>
      </c>
    </row>
    <row r="2" spans="1:8">
      <c r="A2" s="51"/>
    </row>
    <row r="3" spans="1:8" ht="21" customHeight="1">
      <c r="A3" s="51"/>
      <c r="B3" s="594" t="s">
        <v>596</v>
      </c>
      <c r="C3" s="594"/>
      <c r="D3" s="594"/>
      <c r="E3" s="594"/>
      <c r="F3" s="594"/>
      <c r="G3" s="594"/>
      <c r="H3" s="594"/>
    </row>
    <row r="4" spans="1:8" ht="21" customHeight="1">
      <c r="A4" s="51"/>
      <c r="B4" s="594" t="s">
        <v>606</v>
      </c>
      <c r="C4" s="594"/>
      <c r="D4" s="594"/>
      <c r="E4" s="594"/>
      <c r="F4" s="594"/>
      <c r="G4" s="594"/>
      <c r="H4" s="594"/>
    </row>
    <row r="5" spans="1:8" ht="21" customHeight="1">
      <c r="A5" s="51"/>
      <c r="B5" s="590" t="s">
        <v>473</v>
      </c>
      <c r="C5" s="590"/>
      <c r="D5" s="590"/>
      <c r="E5" s="590"/>
      <c r="F5" s="590"/>
      <c r="G5" s="590"/>
      <c r="H5" s="590"/>
    </row>
    <row r="6" spans="1:8" ht="21" customHeight="1">
      <c r="A6" s="51"/>
      <c r="B6" s="594" t="s">
        <v>597</v>
      </c>
      <c r="C6" s="594"/>
      <c r="D6" s="594"/>
      <c r="E6" s="594"/>
      <c r="F6" s="594"/>
      <c r="G6" s="594"/>
      <c r="H6" s="594"/>
    </row>
    <row r="7" spans="1:8" ht="21" customHeight="1">
      <c r="A7" s="51"/>
      <c r="B7" s="623" t="s">
        <v>598</v>
      </c>
      <c r="C7" s="623"/>
      <c r="D7" s="623"/>
      <c r="E7" s="623"/>
      <c r="F7" s="623"/>
      <c r="G7" s="623"/>
      <c r="H7" s="623"/>
    </row>
    <row r="8" spans="1:8" ht="21" customHeight="1">
      <c r="A8" s="51"/>
      <c r="B8" s="242"/>
      <c r="C8" s="242"/>
      <c r="D8" s="242"/>
      <c r="E8" s="242"/>
      <c r="F8" s="57"/>
      <c r="G8" s="57"/>
      <c r="H8" s="57"/>
    </row>
    <row r="9" spans="1:8" ht="18.600000000000001">
      <c r="A9" s="51"/>
      <c r="D9" s="243" t="s">
        <v>386</v>
      </c>
      <c r="G9" s="168"/>
    </row>
    <row r="10" spans="1:8" ht="30" customHeight="1">
      <c r="A10" s="51"/>
      <c r="C10" s="244" t="s">
        <v>387</v>
      </c>
      <c r="D10" s="58" t="s">
        <v>566</v>
      </c>
      <c r="E10" s="245"/>
      <c r="F10" s="59"/>
      <c r="G10" s="59"/>
    </row>
    <row r="11" spans="1:8" ht="45" customHeight="1">
      <c r="A11" s="29">
        <v>1</v>
      </c>
      <c r="C11" s="246" t="s">
        <v>508</v>
      </c>
      <c r="D11" s="192" t="str">
        <f>VLOOKUP(A11,STANFORD_Heart_Lung,9,FALSE)</f>
        <v>35% of billed charges</v>
      </c>
      <c r="E11" s="245"/>
      <c r="F11" s="59"/>
      <c r="G11" s="59"/>
    </row>
    <row r="12" spans="1:8" s="60" customFormat="1" ht="33.6" customHeight="1">
      <c r="A12" s="29">
        <v>2</v>
      </c>
      <c r="B12" s="247"/>
      <c r="C12" s="61" t="s">
        <v>391</v>
      </c>
      <c r="D12" s="248">
        <f>VLOOKUP(A12,STANFORD_Heart_Lung,9,FALSE)</f>
        <v>272865</v>
      </c>
      <c r="E12" s="247"/>
    </row>
    <row r="13" spans="1:8" s="60" customFormat="1" ht="33.6" customHeight="1">
      <c r="A13" s="29">
        <v>3</v>
      </c>
      <c r="B13" s="247"/>
      <c r="C13" s="61" t="s">
        <v>392</v>
      </c>
      <c r="D13" s="248">
        <f>VLOOKUP(A13,STANFORD_Heart_Lung,9,FALSE)</f>
        <v>141448</v>
      </c>
      <c r="E13" s="247"/>
    </row>
    <row r="14" spans="1:8" s="60" customFormat="1" ht="33.6" customHeight="1">
      <c r="A14" s="29">
        <v>4</v>
      </c>
      <c r="B14" s="247"/>
      <c r="C14" s="61" t="s">
        <v>487</v>
      </c>
      <c r="D14" s="248">
        <f>VLOOKUP(A14,STANFORD_Heart_Lung,9,FALSE)</f>
        <v>70723</v>
      </c>
      <c r="E14" s="247"/>
    </row>
    <row r="15" spans="1:8" ht="30.95" customHeight="1">
      <c r="A15" s="62"/>
      <c r="C15" s="249" t="s">
        <v>600</v>
      </c>
      <c r="D15" s="250">
        <f>SUM(D12:D14)</f>
        <v>485036</v>
      </c>
      <c r="E15" s="251"/>
      <c r="F15" s="63"/>
      <c r="G15" s="64"/>
    </row>
    <row r="16" spans="1:8">
      <c r="A16" s="65"/>
      <c r="C16" s="252"/>
      <c r="D16" s="253"/>
      <c r="E16" s="252"/>
      <c r="F16" s="63"/>
      <c r="G16" s="64"/>
    </row>
    <row r="17" spans="1:9" ht="31.5" customHeight="1">
      <c r="A17" s="51"/>
      <c r="C17" s="604" t="s">
        <v>489</v>
      </c>
      <c r="D17" s="605"/>
      <c r="E17" s="605"/>
      <c r="F17" s="605"/>
      <c r="G17" s="606"/>
    </row>
    <row r="18" spans="1:9" ht="27" customHeight="1">
      <c r="A18" s="54"/>
      <c r="C18" s="254"/>
      <c r="D18" s="254"/>
      <c r="E18" s="254"/>
      <c r="F18" s="66"/>
      <c r="G18" s="66"/>
    </row>
    <row r="19" spans="1:9">
      <c r="A19" s="54"/>
      <c r="C19" s="255"/>
      <c r="D19" s="256" t="s">
        <v>409</v>
      </c>
      <c r="E19" s="252"/>
      <c r="F19" s="63"/>
      <c r="G19" s="64"/>
    </row>
    <row r="20" spans="1:9" ht="67.5" customHeight="1">
      <c r="A20" s="29">
        <v>5</v>
      </c>
      <c r="C20" s="257" t="s">
        <v>602</v>
      </c>
      <c r="D20" s="248">
        <f>VLOOKUP(A20,STANFORD_Heart_Lung,9,FALSE)</f>
        <v>1212591</v>
      </c>
      <c r="E20" s="203"/>
      <c r="F20" s="30"/>
      <c r="G20" s="30"/>
      <c r="I20" s="67"/>
    </row>
    <row r="21" spans="1:9" ht="39.950000000000003" customHeight="1">
      <c r="A21" s="29">
        <v>6</v>
      </c>
      <c r="C21" s="258" t="s">
        <v>411</v>
      </c>
      <c r="D21" s="259">
        <f>VLOOKUP(A21,STANFORD_Heart_Lung,9,FALSE)</f>
        <v>0.4</v>
      </c>
      <c r="E21" s="68"/>
      <c r="F21" s="69"/>
      <c r="G21" s="69"/>
      <c r="I21" s="67"/>
    </row>
    <row r="22" spans="1:9" s="30" customFormat="1" ht="15" customHeight="1">
      <c r="A22" s="51"/>
      <c r="B22" s="203"/>
      <c r="C22" s="203"/>
      <c r="D22" s="203"/>
      <c r="E22" s="203"/>
    </row>
    <row r="23" spans="1:9" s="60" customFormat="1" ht="33.6" customHeight="1">
      <c r="A23" s="29">
        <v>7</v>
      </c>
      <c r="B23" s="247"/>
      <c r="C23" s="61" t="s">
        <v>603</v>
      </c>
      <c r="D23" s="259">
        <f>VLOOKUP(A23,STANFORD_Heart_Lung,9,FALSE)</f>
        <v>0.4</v>
      </c>
      <c r="E23" s="247"/>
    </row>
    <row r="24" spans="1:9">
      <c r="A24" s="65"/>
      <c r="C24" s="260"/>
      <c r="D24" s="261"/>
      <c r="E24" s="260"/>
      <c r="F24" s="63"/>
      <c r="G24" s="63"/>
    </row>
    <row r="25" spans="1:9" s="39" customFormat="1" ht="74.099999999999994" customHeight="1">
      <c r="A25" s="29"/>
      <c r="B25" s="207"/>
      <c r="C25" s="567" t="s">
        <v>429</v>
      </c>
      <c r="D25" s="568"/>
      <c r="E25" s="568"/>
      <c r="F25" s="568"/>
      <c r="G25" s="569"/>
      <c r="H25" s="48"/>
      <c r="I25" s="48"/>
    </row>
    <row r="26" spans="1:9">
      <c r="A26" s="51"/>
    </row>
    <row r="27" spans="1:9">
      <c r="A27" s="51"/>
    </row>
    <row r="28" spans="1:9">
      <c r="A28" s="51"/>
    </row>
    <row r="29" spans="1:9">
      <c r="A29" s="51"/>
    </row>
    <row r="30" spans="1:9">
      <c r="A30" s="51"/>
    </row>
    <row r="31" spans="1:9">
      <c r="A31" s="51"/>
    </row>
    <row r="32" spans="1:9">
      <c r="A32" s="51"/>
    </row>
    <row r="33" spans="1:1">
      <c r="A33" s="51"/>
    </row>
    <row r="34" spans="1:1">
      <c r="A34" s="51"/>
    </row>
    <row r="35" spans="1:1" ht="18" customHeight="1">
      <c r="A35" s="51"/>
    </row>
  </sheetData>
  <sheetProtection algorithmName="SHA-512" hashValue="cry2/atuyMS+/yYzgZlXHhTMUwyTzuyAGZiIN/AbJcL2ev8liXpFNeeTE6eK70qZxOMICAlMZmXe2OHg3HKCCA==" saltValue="KO1hMrQGCGoP2oNohe2hVQ==" spinCount="100000" sheet="1" objects="1" scenarios="1"/>
  <mergeCells count="7">
    <mergeCell ref="C25:G25"/>
    <mergeCell ref="B3:H3"/>
    <mergeCell ref="B4:H4"/>
    <mergeCell ref="B5:H5"/>
    <mergeCell ref="B6:H6"/>
    <mergeCell ref="B7:H7"/>
    <mergeCell ref="C17:G17"/>
  </mergeCells>
  <printOptions horizontalCentered="1"/>
  <pageMargins left="0.7" right="0.7" top="0.75" bottom="0.75" header="0.3" footer="0.3"/>
  <pageSetup scale="63"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15">
    <tabColor rgb="FF0070C0"/>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31.625" style="207" customWidth="1"/>
    <col min="5" max="5" width="28.7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c r="A2" s="47"/>
    </row>
    <row r="3" spans="1:7" s="33" customFormat="1" ht="19.899999999999999" customHeight="1">
      <c r="A3" s="31"/>
      <c r="B3" s="570" t="s">
        <v>607</v>
      </c>
      <c r="C3" s="570"/>
      <c r="D3" s="570"/>
      <c r="E3" s="570"/>
      <c r="F3" s="570"/>
      <c r="G3" s="570"/>
    </row>
    <row r="4" spans="1:7" s="33" customFormat="1" ht="19.899999999999999" customHeight="1">
      <c r="A4" s="31"/>
      <c r="B4" s="570" t="s">
        <v>608</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609</v>
      </c>
      <c r="C6" s="570"/>
      <c r="D6" s="570"/>
      <c r="E6" s="570"/>
      <c r="F6" s="570"/>
      <c r="G6" s="570"/>
    </row>
    <row r="7" spans="1:7" ht="12.95">
      <c r="A7" s="47"/>
      <c r="D7" s="202"/>
    </row>
    <row r="8" spans="1:7" ht="21" customHeight="1">
      <c r="A8" s="47"/>
      <c r="C8" s="208"/>
      <c r="D8" s="202" t="s">
        <v>451</v>
      </c>
      <c r="E8" s="202"/>
      <c r="F8" s="41"/>
      <c r="G8" s="41"/>
    </row>
    <row r="9" spans="1:7" ht="24.95" customHeight="1">
      <c r="A9" s="47"/>
      <c r="C9" s="146" t="s">
        <v>387</v>
      </c>
      <c r="D9" s="146" t="s">
        <v>388</v>
      </c>
      <c r="E9" s="202"/>
      <c r="F9" s="41"/>
      <c r="G9" s="167"/>
    </row>
    <row r="10" spans="1:7" ht="49.5" customHeight="1">
      <c r="A10" s="29">
        <v>1</v>
      </c>
      <c r="C10" s="44" t="s">
        <v>389</v>
      </c>
      <c r="D10" s="158">
        <f t="shared" ref="D10:D15" si="0">VLOOKUP(A10,UCSF_PED_ALLO_UNR_MUDSCID,9,FALSE)</f>
        <v>6797</v>
      </c>
      <c r="E10" s="202"/>
      <c r="F10" s="41"/>
      <c r="G10" s="41"/>
    </row>
    <row r="11" spans="1:7" ht="35.1" customHeight="1">
      <c r="A11" s="29">
        <v>2</v>
      </c>
      <c r="C11" s="236" t="s">
        <v>552</v>
      </c>
      <c r="D11" s="158">
        <f t="shared" si="0"/>
        <v>37359</v>
      </c>
    </row>
    <row r="12" spans="1:7" ht="35.1" customHeight="1">
      <c r="A12" s="29">
        <v>3</v>
      </c>
      <c r="C12" s="209" t="s">
        <v>610</v>
      </c>
      <c r="D12" s="237" t="str">
        <f t="shared" si="0"/>
        <v>NBMD or Cord blood Invoice Cost</v>
      </c>
    </row>
    <row r="13" spans="1:7" ht="35.1" customHeight="1">
      <c r="A13" s="29">
        <v>4</v>
      </c>
      <c r="C13" s="210" t="s">
        <v>391</v>
      </c>
      <c r="D13" s="158">
        <f t="shared" si="0"/>
        <v>67246</v>
      </c>
    </row>
    <row r="14" spans="1:7" ht="35.1" customHeight="1">
      <c r="A14" s="29">
        <v>5</v>
      </c>
      <c r="C14" s="212" t="s">
        <v>392</v>
      </c>
      <c r="D14" s="158">
        <f t="shared" si="0"/>
        <v>173345</v>
      </c>
    </row>
    <row r="15" spans="1:7" ht="35.1" customHeight="1">
      <c r="A15" s="29">
        <v>6</v>
      </c>
      <c r="C15" s="212" t="s">
        <v>393</v>
      </c>
      <c r="D15" s="158">
        <f t="shared" si="0"/>
        <v>32129</v>
      </c>
    </row>
    <row r="16" spans="1:7" ht="35.1" customHeight="1">
      <c r="A16" s="51"/>
      <c r="C16" s="221" t="s">
        <v>611</v>
      </c>
      <c r="D16" s="238">
        <f>SUM(D10:D15)</f>
        <v>316876</v>
      </c>
    </row>
    <row r="17" spans="1:7" ht="14.25" customHeight="1">
      <c r="A17" s="54"/>
      <c r="D17" s="239"/>
    </row>
    <row r="18" spans="1:7" ht="29.1" customHeight="1">
      <c r="A18" s="29">
        <v>7</v>
      </c>
      <c r="C18" s="220" t="s">
        <v>601</v>
      </c>
      <c r="D18" s="158">
        <f>VLOOKUP(A18,UCSF_PED_ALLO_UNR_MUDSCID,9,FALSE)</f>
        <v>182</v>
      </c>
    </row>
    <row r="19" spans="1:7">
      <c r="A19" s="47"/>
      <c r="D19" s="224"/>
    </row>
    <row r="20" spans="1:7" ht="48.6" customHeight="1">
      <c r="A20" s="29">
        <v>8</v>
      </c>
      <c r="C20" s="216" t="s">
        <v>395</v>
      </c>
      <c r="D20" s="158">
        <f>VLOOKUP(A20,UCSF_PED_ALLO_UNR_MUDSCID,9,FALSE)</f>
        <v>2554</v>
      </c>
      <c r="E20" s="203"/>
      <c r="F20" s="30"/>
      <c r="G20" s="30"/>
    </row>
    <row r="21" spans="1:7" ht="50.1" customHeight="1">
      <c r="A21" s="29">
        <v>9</v>
      </c>
      <c r="C21" s="52" t="s">
        <v>396</v>
      </c>
      <c r="D21" s="225">
        <f>VLOOKUP(A21,UCSF_PED_ALLO_UNR_MUDSCID,9,FALSE)</f>
        <v>8014.1928120000002</v>
      </c>
      <c r="E21" s="45"/>
      <c r="F21" s="45"/>
      <c r="G21" s="45"/>
    </row>
    <row r="22" spans="1:7" ht="29.1" customHeight="1">
      <c r="A22" s="47"/>
      <c r="D22" s="226"/>
    </row>
    <row r="23" spans="1:7" ht="12.95">
      <c r="A23" s="47"/>
      <c r="C23" s="218"/>
      <c r="D23" s="227" t="s">
        <v>409</v>
      </c>
    </row>
    <row r="24" spans="1:7" ht="37.5" customHeight="1">
      <c r="A24" s="29">
        <v>10</v>
      </c>
      <c r="C24" s="228" t="s">
        <v>612</v>
      </c>
      <c r="D24" s="240">
        <f>VLOOKUP(A24,UCSF_PED_ALLO_UNR_MUDSCID,9,FALSE)</f>
        <v>699059</v>
      </c>
      <c r="E24" s="229" t="s">
        <v>613</v>
      </c>
    </row>
    <row r="25" spans="1:7" ht="36" customHeight="1">
      <c r="A25" s="29">
        <v>11</v>
      </c>
      <c r="C25" s="230" t="s">
        <v>411</v>
      </c>
      <c r="D25" s="231">
        <f>VLOOKUP(A25,UCSF_PED_ALLO_UNR_MUDSCID,9,FALSE)</f>
        <v>0.5</v>
      </c>
      <c r="E25" s="232"/>
    </row>
    <row r="26" spans="1:7" ht="30" customHeight="1">
      <c r="A26" s="47"/>
      <c r="C26" s="218"/>
      <c r="D26" s="227"/>
      <c r="E26" s="232"/>
    </row>
    <row r="27" spans="1:7" s="38" customFormat="1" ht="45" customHeight="1">
      <c r="A27" s="37"/>
      <c r="B27" s="205"/>
      <c r="C27" s="567" t="s">
        <v>417</v>
      </c>
      <c r="D27" s="568"/>
      <c r="E27" s="568"/>
      <c r="F27" s="568"/>
      <c r="G27" s="569"/>
    </row>
    <row r="28" spans="1:7" ht="18.600000000000001" customHeight="1">
      <c r="A28" s="47"/>
    </row>
    <row r="29" spans="1:7" ht="34.5" customHeight="1">
      <c r="A29" s="47"/>
      <c r="C29" s="567" t="s">
        <v>452</v>
      </c>
      <c r="D29" s="568"/>
      <c r="E29" s="568"/>
      <c r="F29" s="568"/>
      <c r="G29" s="569"/>
    </row>
    <row r="30" spans="1:7">
      <c r="A30" s="47"/>
    </row>
    <row r="31" spans="1:7">
      <c r="A31" s="47"/>
    </row>
    <row r="32" spans="1:7">
      <c r="A32" s="47"/>
    </row>
    <row r="33" spans="1:1">
      <c r="A33" s="47"/>
    </row>
    <row r="34" spans="1:1">
      <c r="A34" s="47"/>
    </row>
    <row r="35" spans="1:1">
      <c r="A35" s="47"/>
    </row>
  </sheetData>
  <sheetProtection algorithmName="SHA-512" hashValue="p4E9gLsEKvRg44wgETIHSspCxL8ZS7mjuFOOPSFqdzYyPTCbOStLiFqU42koxXNvVwT1ptX575U3RmfFzXesZg==" saltValue="Urh11W82FnZPtFwG2AiqHg==" spinCount="100000" sheet="1" objects="1" scenarios="1"/>
  <mergeCells count="6">
    <mergeCell ref="C29:G29"/>
    <mergeCell ref="C27:G27"/>
    <mergeCell ref="B3:G3"/>
    <mergeCell ref="B4:G4"/>
    <mergeCell ref="B5:G5"/>
    <mergeCell ref="B6:G6"/>
  </mergeCells>
  <printOptions horizontalCentered="1"/>
  <pageMargins left="0.25" right="0.25" top="0.25" bottom="0.25" header="0.25" footer="0.25"/>
  <pageSetup scale="6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16">
    <tabColor rgb="FF0070C0"/>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6.375" style="207" customWidth="1"/>
    <col min="4" max="4" width="24.5" style="207" customWidth="1"/>
    <col min="5" max="5" width="27.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607</v>
      </c>
      <c r="C3" s="570"/>
      <c r="D3" s="570"/>
      <c r="E3" s="570"/>
      <c r="F3" s="570"/>
      <c r="G3" s="570"/>
    </row>
    <row r="4" spans="1:7" s="33" customFormat="1" ht="19.899999999999999" customHeight="1">
      <c r="A4" s="31"/>
      <c r="B4" s="570" t="s">
        <v>614</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609</v>
      </c>
      <c r="C6" s="570"/>
      <c r="D6" s="570"/>
      <c r="E6" s="570"/>
      <c r="F6" s="570"/>
      <c r="G6" s="570"/>
    </row>
    <row r="7" spans="1:7" s="33" customFormat="1" ht="19.899999999999999" customHeight="1">
      <c r="A7" s="31"/>
      <c r="B7" s="204"/>
      <c r="C7" s="204"/>
      <c r="D7" s="204"/>
      <c r="E7" s="204"/>
      <c r="F7" s="32"/>
      <c r="G7" s="32"/>
    </row>
    <row r="8" spans="1:7" ht="17.100000000000001" customHeight="1">
      <c r="A8" s="47"/>
      <c r="C8" s="208"/>
      <c r="D8" s="202" t="s">
        <v>451</v>
      </c>
      <c r="E8" s="202"/>
      <c r="F8" s="41"/>
      <c r="G8" s="41"/>
    </row>
    <row r="9" spans="1:7" ht="35.1" customHeight="1">
      <c r="A9" s="47"/>
      <c r="C9" s="146" t="s">
        <v>387</v>
      </c>
      <c r="D9" s="146" t="s">
        <v>388</v>
      </c>
      <c r="E9" s="202"/>
      <c r="F9" s="41"/>
      <c r="G9" s="167"/>
    </row>
    <row r="10" spans="1:7" ht="48.75" customHeight="1">
      <c r="A10" s="29">
        <v>1</v>
      </c>
      <c r="C10" s="44" t="s">
        <v>389</v>
      </c>
      <c r="D10" s="158">
        <f t="shared" ref="D10:D15" si="0">VLOOKUP(A10,UCSF_PED_ALLO_REL_SCIDS,9,FALSE)</f>
        <v>6554</v>
      </c>
      <c r="E10" s="202"/>
      <c r="F10" s="50"/>
      <c r="G10" s="41"/>
    </row>
    <row r="11" spans="1:7" ht="35.1" customHeight="1">
      <c r="A11" s="29">
        <v>2</v>
      </c>
      <c r="C11" s="233" t="s">
        <v>552</v>
      </c>
      <c r="D11" s="158">
        <f t="shared" si="0"/>
        <v>2988</v>
      </c>
      <c r="E11" s="202"/>
      <c r="F11" s="50"/>
    </row>
    <row r="12" spans="1:7" ht="35.1" customHeight="1">
      <c r="A12" s="29">
        <v>3</v>
      </c>
      <c r="C12" s="219" t="s">
        <v>610</v>
      </c>
      <c r="D12" s="158">
        <f t="shared" si="0"/>
        <v>13448</v>
      </c>
      <c r="F12" s="50"/>
    </row>
    <row r="13" spans="1:7" ht="35.1" customHeight="1">
      <c r="A13" s="29">
        <v>4</v>
      </c>
      <c r="C13" s="220" t="s">
        <v>391</v>
      </c>
      <c r="D13" s="158">
        <f t="shared" si="0"/>
        <v>59775</v>
      </c>
      <c r="F13" s="50"/>
    </row>
    <row r="14" spans="1:7" ht="35.1" customHeight="1">
      <c r="A14" s="29">
        <v>5</v>
      </c>
      <c r="C14" s="212" t="s">
        <v>392</v>
      </c>
      <c r="D14" s="158">
        <f t="shared" si="0"/>
        <v>158402</v>
      </c>
      <c r="F14" s="50"/>
    </row>
    <row r="15" spans="1:7" ht="35.1" customHeight="1">
      <c r="A15" s="29">
        <v>6</v>
      </c>
      <c r="C15" s="212" t="s">
        <v>393</v>
      </c>
      <c r="D15" s="158">
        <f t="shared" si="0"/>
        <v>29885</v>
      </c>
      <c r="F15" s="50"/>
    </row>
    <row r="16" spans="1:7" ht="35.1" customHeight="1">
      <c r="A16" s="51"/>
      <c r="C16" s="221" t="s">
        <v>554</v>
      </c>
      <c r="D16" s="222">
        <f>SUM(D10:D15)</f>
        <v>271052</v>
      </c>
      <c r="F16" s="50"/>
    </row>
    <row r="17" spans="1:7" ht="14.25" customHeight="1">
      <c r="A17" s="54"/>
      <c r="D17" s="223"/>
      <c r="F17" s="43"/>
    </row>
    <row r="18" spans="1:7" ht="29.1" customHeight="1">
      <c r="A18" s="29">
        <v>7</v>
      </c>
      <c r="C18" s="220" t="s">
        <v>601</v>
      </c>
      <c r="D18" s="158">
        <f>VLOOKUP(A18,UCSF_PED_ALLO_REL_SCIDS,9,FALSE)</f>
        <v>182</v>
      </c>
    </row>
    <row r="19" spans="1:7">
      <c r="A19" s="47"/>
      <c r="D19" s="224"/>
    </row>
    <row r="20" spans="1:7" ht="44.45" customHeight="1">
      <c r="A20" s="29">
        <v>8</v>
      </c>
      <c r="C20" s="216" t="s">
        <v>395</v>
      </c>
      <c r="D20" s="158">
        <f>VLOOKUP(A20,UCSF_PED_ALLO_REL_SCIDS,9,FALSE)</f>
        <v>2554</v>
      </c>
      <c r="E20" s="203"/>
      <c r="F20" s="30"/>
      <c r="G20" s="30"/>
    </row>
    <row r="21" spans="1:7" ht="48.6" customHeight="1">
      <c r="A21" s="29">
        <v>9</v>
      </c>
      <c r="C21" s="52" t="s">
        <v>396</v>
      </c>
      <c r="D21" s="225">
        <f>VLOOKUP(A21,UCSF_PED_ALLO_REL_SCIDS,9,FALSE)</f>
        <v>8014.1928120000002</v>
      </c>
      <c r="E21" s="203"/>
      <c r="F21" s="30"/>
      <c r="G21" s="30"/>
    </row>
    <row r="22" spans="1:7" ht="27.95" customHeight="1">
      <c r="A22" s="47"/>
      <c r="D22" s="226"/>
      <c r="E22" s="203"/>
      <c r="F22" s="30"/>
      <c r="G22" s="30"/>
    </row>
    <row r="23" spans="1:7" ht="15.6" customHeight="1">
      <c r="A23" s="47"/>
      <c r="C23" s="218"/>
      <c r="D23" s="227" t="s">
        <v>409</v>
      </c>
    </row>
    <row r="24" spans="1:7" ht="39.75" customHeight="1">
      <c r="A24" s="29">
        <v>10</v>
      </c>
      <c r="C24" s="228" t="s">
        <v>612</v>
      </c>
      <c r="D24" s="234">
        <f>VLOOKUP(A24,UCSF_PED_ALLO_REL_SCIDS,9,FALSE)</f>
        <v>561590</v>
      </c>
      <c r="E24" s="229" t="s">
        <v>613</v>
      </c>
    </row>
    <row r="25" spans="1:7" ht="33.950000000000003" customHeight="1">
      <c r="A25" s="29">
        <v>11</v>
      </c>
      <c r="C25" s="230" t="s">
        <v>411</v>
      </c>
      <c r="D25" s="231">
        <f>VLOOKUP(A25,UCSF_PED_ALLO_REL_SCIDS,9,FALSE)</f>
        <v>0.5</v>
      </c>
      <c r="E25" s="232"/>
    </row>
    <row r="26" spans="1:7" ht="12.6" customHeight="1">
      <c r="A26" s="47"/>
    </row>
    <row r="27" spans="1:7" s="38" customFormat="1" ht="56.25" customHeight="1">
      <c r="A27" s="37"/>
      <c r="B27" s="205"/>
      <c r="C27" s="567" t="s">
        <v>417</v>
      </c>
      <c r="D27" s="568"/>
      <c r="E27" s="568"/>
      <c r="F27" s="568"/>
      <c r="G27" s="569"/>
    </row>
    <row r="28" spans="1:7">
      <c r="A28" s="47"/>
      <c r="E28" s="45"/>
      <c r="F28" s="53"/>
    </row>
    <row r="29" spans="1:7" ht="34.5" customHeight="1">
      <c r="A29" s="47"/>
      <c r="C29" s="567" t="s">
        <v>452</v>
      </c>
      <c r="D29" s="568"/>
      <c r="E29" s="568"/>
      <c r="F29" s="568"/>
      <c r="G29" s="569"/>
    </row>
    <row r="30" spans="1:7">
      <c r="A30" s="47"/>
      <c r="E30" s="235"/>
      <c r="F30" s="55"/>
    </row>
    <row r="31" spans="1:7">
      <c r="A31" s="47"/>
    </row>
    <row r="32" spans="1:7">
      <c r="A32" s="47"/>
    </row>
    <row r="33" spans="1:1">
      <c r="A33" s="47"/>
    </row>
    <row r="34" spans="1:1">
      <c r="A34" s="47"/>
    </row>
    <row r="35" spans="1:1">
      <c r="A35" s="47"/>
    </row>
  </sheetData>
  <sheetProtection algorithmName="SHA-512" hashValue="6HOCaUIr9monPC8JLLYVt5CIvjcO+duXW3GECuDxkpl+m4n0flzcMm9Kp8RKgHGO3454Y9XHJxulS9PGpJK1Vw==" saltValue="jyf/xfM3D3aomLSNh9PrLg==" spinCount="100000" sheet="1" objects="1" scenarios="1"/>
  <mergeCells count="6">
    <mergeCell ref="C27:G27"/>
    <mergeCell ref="C29:G29"/>
    <mergeCell ref="B3:G3"/>
    <mergeCell ref="B4:G4"/>
    <mergeCell ref="B5:G5"/>
    <mergeCell ref="B6:G6"/>
  </mergeCells>
  <printOptions horizontalCentered="1"/>
  <pageMargins left="0.25" right="0.25" top="0.25" bottom="0.25" header="0.25" footer="0.25"/>
  <pageSetup scale="68"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07D6-2D9B-49B4-BB7B-E5242718A08C}">
  <sheetPr codeName="Sheet117">
    <tabColor rgb="FF0070C0"/>
    <pageSetUpPr fitToPage="1"/>
  </sheetPr>
  <dimension ref="A1:G35"/>
  <sheetViews>
    <sheetView showGridLines="0" topLeftCell="B2" zoomScale="90" zoomScaleNormal="90" zoomScaleSheetLayoutView="70" workbookViewId="0">
      <selection activeCell="E10" sqref="E10"/>
    </sheetView>
  </sheetViews>
  <sheetFormatPr defaultColWidth="9" defaultRowHeight="12.6"/>
  <cols>
    <col min="1" max="1" width="30.625" style="39" hidden="1" customWidth="1"/>
    <col min="2" max="2" width="6.625" style="207" customWidth="1"/>
    <col min="3" max="3" width="64" style="207" customWidth="1"/>
    <col min="4" max="4" width="26.5" style="207" customWidth="1"/>
    <col min="5" max="5" width="29.125" style="207" customWidth="1"/>
    <col min="6" max="6" width="18.625" style="39" customWidth="1"/>
    <col min="7" max="7" width="12.625" style="39" customWidth="1"/>
    <col min="8" max="8" width="9" style="39" customWidth="1"/>
    <col min="9" max="16384" width="9" style="39"/>
  </cols>
  <sheetData>
    <row r="1" spans="1:7" s="483" customFormat="1" ht="20.100000000000001" hidden="1" customHeight="1">
      <c r="A1" s="481" t="e" cm="1">
        <f t="array" aca="1" ref="A1" ca="1">MID(CELL("filename",A1),FIND("]",CELL("filename",A1))+1,255)</f>
        <v>#VALUE!</v>
      </c>
      <c r="B1" s="482"/>
      <c r="C1" s="29">
        <v>3</v>
      </c>
      <c r="D1" s="29">
        <v>4</v>
      </c>
    </row>
    <row r="2" spans="1:7" ht="19.899999999999999" customHeight="1">
      <c r="A2" s="47"/>
    </row>
    <row r="3" spans="1:7" s="33" customFormat="1" ht="19.899999999999999" customHeight="1">
      <c r="A3" s="31"/>
      <c r="B3" s="570" t="s">
        <v>607</v>
      </c>
      <c r="C3" s="570"/>
      <c r="D3" s="570"/>
      <c r="E3" s="570"/>
      <c r="F3" s="570"/>
      <c r="G3" s="570"/>
    </row>
    <row r="4" spans="1:7" s="33" customFormat="1" ht="19.899999999999999" customHeight="1">
      <c r="A4" s="31"/>
      <c r="B4" s="570" t="s">
        <v>615</v>
      </c>
      <c r="C4" s="570"/>
      <c r="D4" s="570"/>
      <c r="E4" s="570"/>
      <c r="F4" s="570"/>
      <c r="G4" s="570"/>
    </row>
    <row r="5" spans="1:7" s="33" customFormat="1" ht="19.899999999999999" customHeight="1">
      <c r="A5" s="31"/>
      <c r="B5" s="571" t="s">
        <v>473</v>
      </c>
      <c r="C5" s="571"/>
      <c r="D5" s="571"/>
      <c r="E5" s="571"/>
      <c r="F5" s="571"/>
      <c r="G5" s="571"/>
    </row>
    <row r="6" spans="1:7" s="33" customFormat="1" ht="19.899999999999999" customHeight="1">
      <c r="A6" s="31"/>
      <c r="B6" s="570" t="s">
        <v>609</v>
      </c>
      <c r="C6" s="570"/>
      <c r="D6" s="570"/>
      <c r="E6" s="570"/>
      <c r="F6" s="570"/>
      <c r="G6" s="570"/>
    </row>
    <row r="7" spans="1:7" s="33" customFormat="1" ht="19.899999999999999" customHeight="1">
      <c r="A7" s="31"/>
      <c r="B7" s="204"/>
      <c r="C7" s="204"/>
      <c r="D7" s="204"/>
      <c r="E7" s="204"/>
      <c r="F7" s="32"/>
      <c r="G7" s="32"/>
    </row>
    <row r="8" spans="1:7" ht="17.100000000000001" customHeight="1">
      <c r="A8" s="47"/>
      <c r="C8" s="208"/>
      <c r="D8" s="202" t="s">
        <v>451</v>
      </c>
      <c r="E8" s="202"/>
      <c r="F8" s="41"/>
      <c r="G8" s="41"/>
    </row>
    <row r="9" spans="1:7" ht="35.1" customHeight="1">
      <c r="A9" s="47"/>
      <c r="C9" s="146" t="s">
        <v>387</v>
      </c>
      <c r="D9" s="146" t="s">
        <v>388</v>
      </c>
      <c r="E9" s="202"/>
      <c r="F9" s="41"/>
      <c r="G9" s="167"/>
    </row>
    <row r="10" spans="1:7" ht="42.75" customHeight="1">
      <c r="A10" s="29">
        <v>1</v>
      </c>
      <c r="C10" s="44" t="s">
        <v>389</v>
      </c>
      <c r="D10" s="158">
        <f>VLOOKUP(A10,UCSF_PED_AUT_MUDSCID,9,FALSE)</f>
        <v>8815</v>
      </c>
      <c r="E10" s="202"/>
      <c r="F10" s="50"/>
      <c r="G10" s="41"/>
    </row>
    <row r="11" spans="1:7" ht="35.1" customHeight="1">
      <c r="A11" s="29">
        <v>2</v>
      </c>
      <c r="C11" s="219" t="s">
        <v>610</v>
      </c>
      <c r="D11" s="158">
        <f>VLOOKUP(A11,UCSF_PED_AUT_MUDSCID,9,FALSE)</f>
        <v>17502</v>
      </c>
      <c r="F11" s="50"/>
    </row>
    <row r="12" spans="1:7" ht="35.1" customHeight="1">
      <c r="A12" s="29">
        <v>3</v>
      </c>
      <c r="C12" s="220" t="s">
        <v>391</v>
      </c>
      <c r="D12" s="158">
        <f>VLOOKUP(A12,UCSF_PED_AUT_MUDSCID,9,FALSE)</f>
        <v>62144</v>
      </c>
      <c r="F12" s="50"/>
    </row>
    <row r="13" spans="1:7" ht="35.1" customHeight="1">
      <c r="A13" s="29">
        <v>4</v>
      </c>
      <c r="C13" s="212" t="s">
        <v>392</v>
      </c>
      <c r="D13" s="158">
        <f>VLOOKUP(A13,UCSF_PED_AUT_MUDSCID,9,FALSE)</f>
        <v>94859</v>
      </c>
      <c r="F13" s="50"/>
    </row>
    <row r="14" spans="1:7" ht="35.1" customHeight="1">
      <c r="A14" s="29">
        <v>5</v>
      </c>
      <c r="C14" s="212" t="s">
        <v>393</v>
      </c>
      <c r="D14" s="158">
        <f>VLOOKUP(A14,UCSF_PED_AUT_MUDSCID,9,FALSE)</f>
        <v>22264</v>
      </c>
      <c r="F14" s="50"/>
    </row>
    <row r="15" spans="1:7" ht="35.1" customHeight="1">
      <c r="A15" s="47"/>
      <c r="C15" s="221" t="s">
        <v>554</v>
      </c>
      <c r="D15" s="222">
        <f>SUM(D10:D14)</f>
        <v>205584</v>
      </c>
      <c r="F15" s="50"/>
    </row>
    <row r="16" spans="1:7" ht="14.25" customHeight="1">
      <c r="A16" s="51"/>
      <c r="D16" s="223"/>
      <c r="F16" s="43"/>
    </row>
    <row r="17" spans="1:7" ht="35.1" customHeight="1">
      <c r="A17" s="29">
        <v>6</v>
      </c>
      <c r="C17" s="220" t="s">
        <v>601</v>
      </c>
      <c r="D17" s="158">
        <f>VLOOKUP(A17,UCSF_PED_AUT_MUDSCID,9,FALSE)</f>
        <v>182</v>
      </c>
    </row>
    <row r="18" spans="1:7">
      <c r="A18" s="47"/>
      <c r="D18" s="224"/>
    </row>
    <row r="19" spans="1:7" ht="41.45" customHeight="1">
      <c r="A19" s="29">
        <v>7</v>
      </c>
      <c r="C19" s="216" t="s">
        <v>395</v>
      </c>
      <c r="D19" s="158">
        <f>VLOOKUP(A19,UCSF_PED_AUT_MUDSCID,9,FALSE)</f>
        <v>2554</v>
      </c>
      <c r="E19" s="203"/>
      <c r="F19" s="30"/>
      <c r="G19" s="30"/>
    </row>
    <row r="20" spans="1:7" ht="50.45" customHeight="1">
      <c r="A20" s="29">
        <v>8</v>
      </c>
      <c r="C20" s="52" t="s">
        <v>396</v>
      </c>
      <c r="D20" s="225">
        <f>VLOOKUP(A20,UCSF_PED_AUT_MUDSCID,9,FALSE)</f>
        <v>8014.1928120000002</v>
      </c>
      <c r="E20" s="45"/>
      <c r="F20" s="30"/>
      <c r="G20" s="30"/>
    </row>
    <row r="21" spans="1:7" ht="27.6" customHeight="1">
      <c r="A21" s="47"/>
      <c r="D21" s="226"/>
      <c r="F21" s="30"/>
      <c r="G21" s="30"/>
    </row>
    <row r="22" spans="1:7" ht="15.6" customHeight="1">
      <c r="A22" s="47"/>
      <c r="C22" s="218"/>
      <c r="D22" s="227" t="s">
        <v>409</v>
      </c>
    </row>
    <row r="23" spans="1:7" ht="35.1" customHeight="1">
      <c r="A23" s="29">
        <v>9</v>
      </c>
      <c r="C23" s="228" t="s">
        <v>612</v>
      </c>
      <c r="D23" s="158">
        <f>VLOOKUP(A23,UCSF_PED_AUT_MUDSCID,9,FALSE)</f>
        <v>551702</v>
      </c>
      <c r="E23" s="229" t="s">
        <v>613</v>
      </c>
    </row>
    <row r="24" spans="1:7" ht="35.1" customHeight="1">
      <c r="A24" s="29">
        <v>10</v>
      </c>
      <c r="C24" s="230" t="s">
        <v>411</v>
      </c>
      <c r="D24" s="231">
        <f>VLOOKUP(A24,UCSF_PED_AUT_MUDSCID,9,FALSE)</f>
        <v>0.5</v>
      </c>
      <c r="E24" s="232"/>
    </row>
    <row r="25" spans="1:7" ht="12.6" customHeight="1">
      <c r="A25" s="47"/>
    </row>
    <row r="26" spans="1:7" s="38" customFormat="1" ht="51" customHeight="1">
      <c r="A26" s="37"/>
      <c r="B26" s="205"/>
      <c r="C26" s="567" t="s">
        <v>417</v>
      </c>
      <c r="D26" s="568"/>
      <c r="E26" s="568"/>
      <c r="F26" s="568"/>
      <c r="G26" s="569"/>
    </row>
    <row r="27" spans="1:7">
      <c r="A27" s="47"/>
    </row>
    <row r="28" spans="1:7" ht="35.450000000000003" customHeight="1">
      <c r="A28" s="47"/>
      <c r="C28" s="567" t="s">
        <v>452</v>
      </c>
      <c r="D28" s="568"/>
      <c r="E28" s="568"/>
      <c r="F28" s="568"/>
      <c r="G28" s="569"/>
    </row>
    <row r="29" spans="1:7">
      <c r="A29" s="47"/>
      <c r="E29" s="45"/>
      <c r="F29" s="53"/>
    </row>
    <row r="30" spans="1:7">
      <c r="A30" s="47"/>
    </row>
    <row r="31" spans="1:7">
      <c r="A31" s="47"/>
    </row>
    <row r="32" spans="1:7">
      <c r="A32" s="47"/>
    </row>
    <row r="33" spans="1:1">
      <c r="A33" s="47"/>
    </row>
    <row r="34" spans="1:1">
      <c r="A34" s="47"/>
    </row>
    <row r="35" spans="1:1">
      <c r="A35" s="47"/>
    </row>
  </sheetData>
  <sheetProtection algorithmName="SHA-512" hashValue="A26tO4naHfAKafI0oNqzlnKzzdcghNTgiSBcxFoYZ0CHFTtqyYTRm55jENbZK7LFAwYMObZMRKa8xVUYF1yOiA==" saltValue="yrKTl/N3WKXB7UgfTaNJAA==" spinCount="100000" sheet="1" objects="1" scenarios="1"/>
  <mergeCells count="6">
    <mergeCell ref="C26:G26"/>
    <mergeCell ref="C28:G28"/>
    <mergeCell ref="B3:G3"/>
    <mergeCell ref="B4:G4"/>
    <mergeCell ref="B5:G5"/>
    <mergeCell ref="B6:G6"/>
  </mergeCells>
  <printOptions horizontalCentered="1"/>
  <pageMargins left="0.25" right="0.25" top="0.25" bottom="0.25" header="0.25" footer="0.25"/>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eb78b4d-1d23-4d67-9463-871c0337e584" xsi:nil="true"/>
    <lcf76f155ced4ddcb4097134ff3c332f xmlns="2e918506-67f5-4fac-8a60-70d79b3a223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F8B7260599BE4695DB5A6F5D482337" ma:contentTypeVersion="11" ma:contentTypeDescription="Create a new document." ma:contentTypeScope="" ma:versionID="c1b4a016298986519d79950b93d1867a">
  <xsd:schema xmlns:xsd="http://www.w3.org/2001/XMLSchema" xmlns:xs="http://www.w3.org/2001/XMLSchema" xmlns:p="http://schemas.microsoft.com/office/2006/metadata/properties" xmlns:ns2="2e918506-67f5-4fac-8a60-70d79b3a2237" xmlns:ns3="2eb78b4d-1d23-4d67-9463-871c0337e584" targetNamespace="http://schemas.microsoft.com/office/2006/metadata/properties" ma:root="true" ma:fieldsID="8b3883a0386b16e65a2db332752fe604" ns2:_="" ns3:_="">
    <xsd:import namespace="2e918506-67f5-4fac-8a60-70d79b3a2237"/>
    <xsd:import namespace="2eb78b4d-1d23-4d67-9463-871c0337e5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918506-67f5-4fac-8a60-70d79b3a2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b78b4d-1d23-4d67-9463-871c0337e58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326c3a6-db4b-4f7d-b236-b203d8e07f9e}" ma:internalName="TaxCatchAll" ma:showField="CatchAllData" ma:web="2eb78b4d-1d23-4d67-9463-871c0337e5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552E03-F25E-47E1-B2A2-BACB4A171570}"/>
</file>

<file path=customXml/itemProps2.xml><?xml version="1.0" encoding="utf-8"?>
<ds:datastoreItem xmlns:ds="http://schemas.openxmlformats.org/officeDocument/2006/customXml" ds:itemID="{42C62324-CE4E-4138-8316-49A4A9B52BFC}"/>
</file>

<file path=customXml/itemProps3.xml><?xml version="1.0" encoding="utf-8"?>
<ds:datastoreItem xmlns:ds="http://schemas.openxmlformats.org/officeDocument/2006/customXml" ds:itemID="{FF321612-14A9-4ED8-815A-07795B2C01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nxneroni</dc:creator>
  <cp:keywords/>
  <dc:description/>
  <cp:lastModifiedBy/>
  <cp:revision/>
  <dcterms:created xsi:type="dcterms:W3CDTF">2010-11-04T19:28:19Z</dcterms:created>
  <dcterms:modified xsi:type="dcterms:W3CDTF">2026-09-17T21:57:33Z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0x010100E2F8B7260599BE4695DB5A6F5D482337</vt:lpwstr>
  </property>
  <property fmtid="{D5CDD505-2E9C-101B-9397-08002B2CF9AE}" pid="3" name="Order">
    <vt:r8>1273800</vt:r8>
  </property>
  <property fmtid="{D5CDD505-2E9C-101B-9397-08002B2CF9AE}" pid="4" name="MediaServiceImageTags">
    <vt:lpwstr/>
  </property>
</Properties>
</file>