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103896\Desktop\Inet ACOM 301 CYE 27\"/>
    </mc:Choice>
  </mc:AlternateContent>
  <xr:revisionPtr revIDLastSave="0" documentId="8_{E72E45C3-9673-4AD6-A612-5894E3F43DCD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Reconciliation Template" sheetId="3" r:id="rId1"/>
    <sheet name="Recon Example Calc-Profit" sheetId="1" r:id="rId2"/>
    <sheet name="Recon Example Calc-Loss" sheetId="2" r:id="rId3"/>
  </sheets>
  <externalReferences>
    <externalReference r:id="rId4"/>
  </externalReferences>
  <definedNames>
    <definedName name="Bound">[1]Inputs!$B$6</definedName>
    <definedName name="_xlnm.Print_Area" localSheetId="2">'Recon Example Calc-Loss'!$A$1:$G$54</definedName>
    <definedName name="_xlnm.Print_Area" localSheetId="1">'Recon Example Calc-Profit'!$A$1:$G$61</definedName>
    <definedName name="_xlnm.Print_Area" localSheetId="0">'Reconciliation Template'!$A$1:$G$61</definedName>
    <definedName name="ReconPercent">[1]Inputs!$B$4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3" l="1"/>
  <c r="B23" i="3" s="1"/>
  <c r="D24" i="3"/>
  <c r="D13" i="3"/>
  <c r="D14" i="3"/>
  <c r="D15" i="3"/>
  <c r="D16" i="3"/>
  <c r="B17" i="3"/>
  <c r="B19" i="3" s="1"/>
  <c r="C17" i="3"/>
  <c r="C19" i="3" s="1"/>
  <c r="C10" i="3"/>
  <c r="C23" i="3" s="1"/>
  <c r="D4" i="3"/>
  <c r="D5" i="3"/>
  <c r="D6" i="3"/>
  <c r="D7" i="3"/>
  <c r="D8" i="3"/>
  <c r="D9" i="3"/>
  <c r="C13" i="1"/>
  <c r="B13" i="1"/>
  <c r="D24" i="2"/>
  <c r="D16" i="2"/>
  <c r="D15" i="2"/>
  <c r="D14" i="2"/>
  <c r="C13" i="2"/>
  <c r="C17" i="2" s="1"/>
  <c r="C19" i="2" s="1"/>
  <c r="B13" i="2"/>
  <c r="D13" i="2" s="1"/>
  <c r="C10" i="2"/>
  <c r="C9" i="2"/>
  <c r="B9" i="2"/>
  <c r="D8" i="2"/>
  <c r="D7" i="2"/>
  <c r="D6" i="2"/>
  <c r="D5" i="2"/>
  <c r="D4" i="2"/>
  <c r="D10" i="3" l="1"/>
  <c r="D23" i="3" s="1"/>
  <c r="D9" i="2"/>
  <c r="B10" i="2"/>
  <c r="D19" i="3"/>
  <c r="D17" i="3"/>
  <c r="C22" i="3"/>
  <c r="D10" i="2"/>
  <c r="B28" i="2" s="1"/>
  <c r="B22" i="3"/>
  <c r="D17" i="2"/>
  <c r="C22" i="2"/>
  <c r="C23" i="2" s="1"/>
  <c r="B17" i="2"/>
  <c r="B28" i="3" l="1"/>
  <c r="B30" i="3" s="1"/>
  <c r="D22" i="3"/>
  <c r="B29" i="3"/>
  <c r="B19" i="2"/>
  <c r="D19" i="2" s="1"/>
  <c r="D22" i="2" s="1"/>
  <c r="G49" i="3" l="1"/>
  <c r="G43" i="3"/>
  <c r="B22" i="2"/>
  <c r="B23" i="2" s="1"/>
  <c r="D23" i="2"/>
  <c r="B29" i="2"/>
  <c r="D49" i="3" l="1"/>
  <c r="E49" i="3" s="1"/>
  <c r="D43" i="3"/>
  <c r="E43" i="3" s="1"/>
  <c r="G41" i="2"/>
  <c r="G48" i="2"/>
  <c r="B30" i="2"/>
  <c r="G44" i="3" l="1"/>
  <c r="D44" i="3" s="1"/>
  <c r="E44" i="3" s="1"/>
  <c r="G50" i="3"/>
  <c r="D41" i="2"/>
  <c r="E41" i="2" s="1"/>
  <c r="D48" i="2"/>
  <c r="E48" i="2" s="1"/>
  <c r="D50" i="3" l="1"/>
  <c r="E50" i="3" s="1"/>
  <c r="G45" i="3"/>
  <c r="G49" i="2"/>
  <c r="G42" i="2"/>
  <c r="G51" i="3" l="1"/>
  <c r="D51" i="3" s="1"/>
  <c r="E51" i="3" s="1"/>
  <c r="D45" i="3"/>
  <c r="E45" i="3" s="1"/>
  <c r="G46" i="3"/>
  <c r="D46" i="3" s="1"/>
  <c r="E46" i="3" s="1"/>
  <c r="D42" i="2"/>
  <c r="E42" i="2" s="1"/>
  <c r="D49" i="2"/>
  <c r="E49" i="2" s="1"/>
  <c r="G50" i="2" l="1"/>
  <c r="G52" i="3"/>
  <c r="D50" i="2"/>
  <c r="E50" i="2" s="1"/>
  <c r="G43" i="2"/>
  <c r="D43" i="2" l="1"/>
  <c r="E43" i="2" s="1"/>
  <c r="D52" i="3"/>
  <c r="E52" i="3" s="1"/>
  <c r="G51" i="2"/>
  <c r="G44" i="2" l="1"/>
  <c r="D44" i="2" s="1"/>
  <c r="E44" i="2" s="1"/>
  <c r="G53" i="3"/>
  <c r="D53" i="3" s="1"/>
  <c r="E53" i="3" s="1"/>
  <c r="B34" i="3" s="1"/>
  <c r="D51" i="2"/>
  <c r="E51" i="2" s="1"/>
  <c r="B38" i="3" l="1"/>
  <c r="B39" i="3" s="1"/>
  <c r="G52" i="2"/>
  <c r="D52" i="2" s="1"/>
  <c r="E52" i="2" s="1"/>
  <c r="B32" i="2" s="1"/>
  <c r="B36" i="2" l="1"/>
  <c r="B37" i="2" s="1"/>
  <c r="D6" i="1" l="1"/>
  <c r="C17" i="1"/>
  <c r="C19" i="1" s="1"/>
  <c r="B17" i="1"/>
  <c r="B19" i="1" s="1"/>
  <c r="B9" i="1"/>
  <c r="B10" i="1" s="1"/>
  <c r="B21" i="1" l="1"/>
  <c r="D23" i="1" l="1"/>
  <c r="D19" i="1"/>
  <c r="D16" i="1"/>
  <c r="D15" i="1"/>
  <c r="D14" i="1"/>
  <c r="D8" i="1"/>
  <c r="D7" i="1" l="1"/>
  <c r="C9" i="1"/>
  <c r="C10" i="1" s="1"/>
  <c r="C21" i="1" s="1"/>
  <c r="D5" i="1"/>
  <c r="D4" i="1"/>
  <c r="D13" i="1"/>
  <c r="D17" i="1" s="1"/>
  <c r="B22" i="1" l="1"/>
  <c r="C22" i="1"/>
  <c r="D9" i="1"/>
  <c r="D10" i="1" s="1"/>
  <c r="D21" i="1" s="1"/>
  <c r="B28" i="1" l="1"/>
  <c r="G42" i="1" s="1"/>
  <c r="B27" i="1" l="1"/>
  <c r="D22" i="1"/>
  <c r="B29" i="1" l="1"/>
  <c r="G49" i="1"/>
  <c r="D49" i="1" s="1"/>
  <c r="G50" i="1" s="1"/>
  <c r="D50" i="1" l="1"/>
  <c r="E50" i="1" s="1"/>
  <c r="D42" i="1"/>
  <c r="E49" i="1"/>
  <c r="E42" i="1" l="1"/>
  <c r="G43" i="1"/>
  <c r="G51" i="1"/>
  <c r="D51" i="1" s="1"/>
  <c r="E51" i="1" s="1"/>
  <c r="G52" i="1" l="1"/>
  <c r="D43" i="1"/>
  <c r="E43" i="1" s="1"/>
  <c r="G44" i="1" l="1"/>
  <c r="D44" i="1" s="1"/>
  <c r="E44" i="1" s="1"/>
  <c r="D52" i="1"/>
  <c r="E52" i="1" s="1"/>
  <c r="G45" i="1" l="1"/>
  <c r="D45" i="1" s="1"/>
  <c r="E45" i="1" s="1"/>
  <c r="G53" i="1"/>
  <c r="D53" i="1" s="1"/>
  <c r="E53" i="1" s="1"/>
  <c r="B33" i="1" l="1"/>
  <c r="B37" i="1" l="1"/>
  <c r="B38" i="1" s="1"/>
</calcChain>
</file>

<file path=xl/sharedStrings.xml><?xml version="1.0" encoding="utf-8"?>
<sst xmlns="http://schemas.openxmlformats.org/spreadsheetml/2006/main" count="172" uniqueCount="64">
  <si>
    <t>DUAL</t>
  </si>
  <si>
    <t>NON-DUAL</t>
  </si>
  <si>
    <t>TOTAL</t>
  </si>
  <si>
    <t>Medical Revenue Sources</t>
  </si>
  <si>
    <t>Prospective Capitation</t>
  </si>
  <si>
    <t>PPC Capitation</t>
  </si>
  <si>
    <t>Reinsurance</t>
  </si>
  <si>
    <t>Less: Administrative Component</t>
  </si>
  <si>
    <t>Less: Premium Tax Component</t>
  </si>
  <si>
    <t>Medical Revenue</t>
  </si>
  <si>
    <t>Medical Expense Sources</t>
  </si>
  <si>
    <t>Fully Adjudicated and Approved Encounters</t>
  </si>
  <si>
    <t>Encounter Completion</t>
  </si>
  <si>
    <t>Plus: Medical Sub-Capitated/Block Purchase Expense</t>
  </si>
  <si>
    <t>Less: CN1 Code 05 Encounters</t>
  </si>
  <si>
    <t>Medical Expense</t>
  </si>
  <si>
    <t>Provision for Health Care Quality Improvement (HCQI) Activities</t>
  </si>
  <si>
    <t>Profit/(Loss) to be Reconciled  = (Medical Revenue-Medical Expense-Provision for HCQI Activities)</t>
  </si>
  <si>
    <t>Profit/(Loss) % of Medical Revenue</t>
  </si>
  <si>
    <t>Member Months</t>
  </si>
  <si>
    <t xml:space="preserve">SETTLEMENT </t>
  </si>
  <si>
    <t>Total Profit/(Loss) to be Reconciled</t>
  </si>
  <si>
    <t>Amount Due to (from) Contractor:</t>
  </si>
  <si>
    <t>Other Adjustments:</t>
  </si>
  <si>
    <t>Premium Tax</t>
  </si>
  <si>
    <t>Net Amount Due to (from) Contractor:</t>
  </si>
  <si>
    <t>Profit</t>
  </si>
  <si>
    <t>Recon Amount Due to/From Calculation</t>
  </si>
  <si>
    <t>Excess Profit</t>
  </si>
  <si>
    <t>Recoup. %</t>
  </si>
  <si>
    <t>By Band</t>
  </si>
  <si>
    <t>Recoupment</t>
  </si>
  <si>
    <t>Calcs</t>
  </si>
  <si>
    <t>&lt;= 2%</t>
  </si>
  <si>
    <t>2% &lt; x &lt;= 4%</t>
  </si>
  <si>
    <t>4% &lt; x &lt;= 7%</t>
  </si>
  <si>
    <t xml:space="preserve"> x &gt; 7%</t>
  </si>
  <si>
    <t>Loss</t>
  </si>
  <si>
    <t>Excess Loss</t>
  </si>
  <si>
    <t>Reimburse</t>
  </si>
  <si>
    <t>&lt;= 1%</t>
  </si>
  <si>
    <t>1% &lt;x &lt;= 2%</t>
  </si>
  <si>
    <t>2% &lt; x &lt;= 3%</t>
  </si>
  <si>
    <t>3% &lt; x &lt;= 4%</t>
  </si>
  <si>
    <t>&gt; 4%</t>
  </si>
  <si>
    <t>Assumptions:</t>
  </si>
  <si>
    <t>1) Medical Revenue includes Prospective and Prior Period Coverage (PPC) Capitation and Reinsurance Payments for dates of service within the reconciliation time frame.</t>
  </si>
  <si>
    <t xml:space="preserve">2) Medical Expenses include all Prospective and PPC fully adjudicated and approved physical and mental health encounters for dates of service within the reconciliation time frame.  </t>
  </si>
  <si>
    <t>3) The Administrative and Case Management Per Member Per Month (PMPM) component will be the amount built into the cap rates multiplied by actual member months.</t>
  </si>
  <si>
    <t xml:space="preserve">4) Medical Sub-Capitated/Block Purchase Expenses are self reported medical amounts from Quarterly Financial statements or final audits. </t>
  </si>
  <si>
    <t>5) All encounters with CN 1 code of 05 with an amount greater than $0 have been excluded from this reconciliation.</t>
  </si>
  <si>
    <t>Less: Case Management Component</t>
  </si>
  <si>
    <t>SETTLEMENT</t>
  </si>
  <si>
    <t>&lt;=2%</t>
  </si>
  <si>
    <t>2% &lt; x &lt;=  4%</t>
  </si>
  <si>
    <t>4 &lt; x &lt;= 7%</t>
  </si>
  <si>
    <t xml:space="preserve"> x &gt;7%</t>
  </si>
  <si>
    <t>&lt;=1%</t>
  </si>
  <si>
    <t>1% &lt; x &lt;= 2%</t>
  </si>
  <si>
    <t xml:space="preserve">4) Medical Sub-Capitated/Block Purchase Expenses are self reported from Quarterly Financial statements or final audits. </t>
  </si>
  <si>
    <t>2% &lt; x &lt;=4%</t>
  </si>
  <si>
    <r>
      <rPr>
        <b/>
        <strike/>
        <sz val="11"/>
        <rFont val="Calibri"/>
        <family val="2"/>
        <scheme val="minor"/>
      </rPr>
      <t xml:space="preserve">Net </t>
    </r>
    <r>
      <rPr>
        <b/>
        <sz val="11"/>
        <rFont val="Calibri"/>
        <family val="2"/>
        <scheme val="minor"/>
      </rPr>
      <t>Medical Expense</t>
    </r>
  </si>
  <si>
    <r>
      <t xml:space="preserve">Profit/(Loss) to be Reconciled  </t>
    </r>
    <r>
      <rPr>
        <sz val="11"/>
        <color theme="0"/>
        <rFont val="Calibri"/>
        <family val="2"/>
        <scheme val="minor"/>
      </rPr>
      <t>= (Medical Revenue - Medical Expense - Provision for HCQI Activities)</t>
    </r>
  </si>
  <si>
    <r>
      <t xml:space="preserve">Profit/(Loss) to be Reconciled  </t>
    </r>
    <r>
      <rPr>
        <u/>
        <sz val="11"/>
        <color theme="0"/>
        <rFont val="Calibri"/>
        <family val="2"/>
        <scheme val="minor"/>
      </rPr>
      <t>=(Medical R</t>
    </r>
    <r>
      <rPr>
        <strike/>
        <u/>
        <sz val="11"/>
        <color theme="0"/>
        <rFont val="Calibri"/>
        <family val="2"/>
        <scheme val="minor"/>
      </rPr>
      <t>r</t>
    </r>
    <r>
      <rPr>
        <u/>
        <sz val="11"/>
        <color theme="0"/>
        <rFont val="Calibri"/>
        <family val="2"/>
        <scheme val="minor"/>
      </rPr>
      <t>evenue - Medical Expense - Provision for HCQI Activities)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</si>
</sst>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  <numFmt numFmtId="165" formatCode="_(* #,##0_);_(* \(#,##0\);_(* &quot;-&quot;??_);_(@_)"/>
    <numFmt numFmtId="166" formatCode="_(&quot;$&quot;* #,##0.000_);_(&quot;$&quot;* \(#,##0.000\);_(&quot;$&quot;* &quot;-&quot;??_);_(@_)"/>
    <numFmt numFmtId="167" formatCode="_(&quot;$&quot;* #,##0.0000000_);_(&quot;$&quot;* \(#,##0.0000000\);_(&quot;$&quot;* &quot;-&quot;??_);_(@_)"/>
    <numFmt numFmtId="168" formatCode="_(&quot;$&quot;* #,##0_);_(&quot;$&quot;* \(#,##0\);_(&quot;$&quot;* &quot;-&quot;??_);_(@_)"/>
    <numFmt numFmtId="169" formatCode="&quot;$&quot;#,##0"/>
  </numFmts>
  <fonts count="2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trike/>
      <sz val="8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trike/>
      <sz val="12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trike/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trike/>
      <sz val="11"/>
      <name val="Calibri"/>
      <family val="2"/>
      <scheme val="minor"/>
    </font>
    <font>
      <strike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6999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0" applyFont="1"/>
    <xf numFmtId="0" fontId="5" fillId="0" borderId="0" xfId="0" applyFont="1"/>
    <xf numFmtId="44" fontId="5" fillId="0" borderId="0" xfId="0" applyNumberFormat="1" applyFont="1"/>
    <xf numFmtId="0" fontId="6" fillId="0" borderId="0" xfId="0" applyFont="1"/>
    <xf numFmtId="44" fontId="4" fillId="0" borderId="0" xfId="0" applyNumberFormat="1" applyFont="1"/>
    <xf numFmtId="44" fontId="6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0" fillId="0" borderId="0" xfId="0" applyFont="1"/>
    <xf numFmtId="164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left" indent="1"/>
    </xf>
    <xf numFmtId="44" fontId="11" fillId="0" borderId="0" xfId="0" applyNumberFormat="1" applyFont="1"/>
    <xf numFmtId="44" fontId="10" fillId="0" borderId="0" xfId="0" applyNumberFormat="1" applyFont="1"/>
    <xf numFmtId="165" fontId="11" fillId="0" borderId="0" xfId="3" applyNumberFormat="1" applyFont="1" applyFill="1"/>
    <xf numFmtId="44" fontId="11" fillId="0" borderId="0" xfId="2" applyFont="1" applyFill="1" applyBorder="1"/>
    <xf numFmtId="10" fontId="11" fillId="0" borderId="0" xfId="3" applyNumberFormat="1" applyFont="1" applyFill="1" applyBorder="1"/>
    <xf numFmtId="0" fontId="11" fillId="0" borderId="0" xfId="0" quotePrefix="1" applyFont="1" applyAlignment="1">
      <alignment horizontal="left"/>
    </xf>
    <xf numFmtId="166" fontId="11" fillId="0" borderId="0" xfId="2" applyNumberFormat="1" applyFont="1" applyFill="1"/>
    <xf numFmtId="0" fontId="11" fillId="0" borderId="0" xfId="0" applyFont="1" applyAlignment="1">
      <alignment horizontal="center"/>
    </xf>
    <xf numFmtId="9" fontId="11" fillId="0" borderId="0" xfId="0" applyNumberFormat="1" applyFont="1"/>
    <xf numFmtId="168" fontId="11" fillId="0" borderId="0" xfId="2" applyNumberFormat="1" applyFont="1" applyFill="1"/>
    <xf numFmtId="168" fontId="11" fillId="0" borderId="0" xfId="0" applyNumberFormat="1" applyFont="1"/>
    <xf numFmtId="169" fontId="11" fillId="0" borderId="0" xfId="2" applyNumberFormat="1" applyFont="1" applyFill="1" applyBorder="1" applyAlignment="1">
      <alignment horizontal="center"/>
    </xf>
    <xf numFmtId="10" fontId="11" fillId="0" borderId="0" xfId="3" applyNumberFormat="1" applyFont="1"/>
    <xf numFmtId="165" fontId="11" fillId="0" borderId="0" xfId="3" applyNumberFormat="1" applyFont="1"/>
    <xf numFmtId="44" fontId="11" fillId="0" borderId="0" xfId="2" applyFont="1"/>
    <xf numFmtId="0" fontId="11" fillId="0" borderId="0" xfId="0" applyFont="1" applyAlignment="1">
      <alignment horizontal="left"/>
    </xf>
    <xf numFmtId="166" fontId="11" fillId="0" borderId="0" xfId="2" applyNumberFormat="1" applyFont="1"/>
    <xf numFmtId="9" fontId="11" fillId="0" borderId="0" xfId="3" applyFont="1"/>
    <xf numFmtId="168" fontId="11" fillId="0" borderId="0" xfId="2" applyNumberFormat="1" applyFont="1"/>
    <xf numFmtId="169" fontId="11" fillId="0" borderId="0" xfId="2" applyNumberFormat="1" applyFont="1" applyAlignment="1">
      <alignment horizontal="center"/>
    </xf>
    <xf numFmtId="0" fontId="11" fillId="0" borderId="9" xfId="0" applyFont="1" applyBorder="1"/>
    <xf numFmtId="0" fontId="12" fillId="0" borderId="0" xfId="0" applyFont="1"/>
    <xf numFmtId="168" fontId="12" fillId="0" borderId="0" xfId="0" applyNumberFormat="1" applyFont="1"/>
    <xf numFmtId="166" fontId="12" fillId="0" borderId="0" xfId="2" applyNumberFormat="1" applyFont="1" applyFill="1"/>
    <xf numFmtId="0" fontId="17" fillId="2" borderId="0" xfId="0" applyFont="1" applyFill="1" applyAlignment="1">
      <alignment horizontal="left" vertical="center"/>
    </xf>
    <xf numFmtId="164" fontId="13" fillId="2" borderId="0" xfId="0" applyNumberFormat="1" applyFont="1" applyFill="1" applyAlignment="1">
      <alignment horizontal="center" vertical="center"/>
    </xf>
    <xf numFmtId="0" fontId="18" fillId="0" borderId="0" xfId="0" applyFont="1"/>
    <xf numFmtId="0" fontId="19" fillId="0" borderId="0" xfId="0" applyFont="1"/>
    <xf numFmtId="44" fontId="11" fillId="0" borderId="1" xfId="0" applyNumberFormat="1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quotePrefix="1" applyFont="1" applyBorder="1" applyAlignment="1">
      <alignment horizontal="left" vertical="top"/>
    </xf>
    <xf numFmtId="0" fontId="11" fillId="0" borderId="10" xfId="0" applyFont="1" applyBorder="1"/>
    <xf numFmtId="0" fontId="11" fillId="0" borderId="0" xfId="0" applyFont="1" applyAlignment="1">
      <alignment wrapText="1"/>
    </xf>
    <xf numFmtId="165" fontId="11" fillId="0" borderId="0" xfId="1" applyNumberFormat="1" applyFont="1"/>
    <xf numFmtId="0" fontId="10" fillId="0" borderId="0" xfId="0" applyFont="1" applyAlignment="1">
      <alignment wrapText="1"/>
    </xf>
    <xf numFmtId="167" fontId="11" fillId="0" borderId="0" xfId="0" applyNumberFormat="1" applyFont="1"/>
    <xf numFmtId="44" fontId="11" fillId="0" borderId="2" xfId="0" applyNumberFormat="1" applyFont="1" applyBorder="1"/>
    <xf numFmtId="9" fontId="11" fillId="0" borderId="0" xfId="0" quotePrefix="1" applyNumberFormat="1" applyFont="1"/>
    <xf numFmtId="49" fontId="11" fillId="0" borderId="0" xfId="0" quotePrefix="1" applyNumberFormat="1" applyFont="1"/>
    <xf numFmtId="10" fontId="10" fillId="0" borderId="0" xfId="3" applyNumberFormat="1" applyFont="1"/>
    <xf numFmtId="0" fontId="17" fillId="2" borderId="11" xfId="0" applyFont="1" applyFill="1" applyBorder="1" applyAlignment="1">
      <alignment horizontal="left" vertical="center"/>
    </xf>
    <xf numFmtId="164" fontId="13" fillId="2" borderId="11" xfId="0" applyNumberFormat="1" applyFont="1" applyFill="1" applyBorder="1" applyAlignment="1">
      <alignment horizontal="center" vertical="center"/>
    </xf>
    <xf numFmtId="0" fontId="11" fillId="0" borderId="0" xfId="0" quotePrefix="1" applyFont="1" applyAlignment="1">
      <alignment horizontal="left" wrapText="1"/>
    </xf>
    <xf numFmtId="165" fontId="11" fillId="0" borderId="0" xfId="1" applyNumberFormat="1" applyFont="1" applyFill="1"/>
    <xf numFmtId="10" fontId="11" fillId="0" borderId="0" xfId="3" applyNumberFormat="1" applyFont="1" applyFill="1"/>
    <xf numFmtId="9" fontId="11" fillId="0" borderId="0" xfId="3" applyFont="1" applyFill="1" applyBorder="1"/>
    <xf numFmtId="0" fontId="10" fillId="0" borderId="3" xfId="0" applyFont="1" applyBorder="1"/>
    <xf numFmtId="10" fontId="18" fillId="0" borderId="0" xfId="3" applyNumberFormat="1" applyFont="1" applyFill="1"/>
    <xf numFmtId="165" fontId="19" fillId="0" borderId="0" xfId="3" applyNumberFormat="1" applyFont="1" applyFill="1"/>
    <xf numFmtId="0" fontId="16" fillId="2" borderId="0" xfId="0" applyFont="1" applyFill="1" applyAlignment="1">
      <alignment horizontal="left" wrapText="1"/>
    </xf>
    <xf numFmtId="44" fontId="16" fillId="2" borderId="0" xfId="0" applyNumberFormat="1" applyFont="1" applyFill="1" applyAlignment="1">
      <alignment horizontal="left"/>
    </xf>
    <xf numFmtId="0" fontId="13" fillId="2" borderId="0" xfId="0" applyFont="1" applyFill="1" applyAlignment="1">
      <alignment horizontal="left" wrapText="1"/>
    </xf>
    <xf numFmtId="44" fontId="13" fillId="2" borderId="0" xfId="0" applyNumberFormat="1" applyFont="1" applyFill="1" applyAlignment="1">
      <alignment horizontal="left"/>
    </xf>
    <xf numFmtId="10" fontId="10" fillId="0" borderId="0" xfId="3" applyNumberFormat="1" applyFont="1" applyFill="1"/>
    <xf numFmtId="0" fontId="13" fillId="2" borderId="11" xfId="0" applyFont="1" applyFill="1" applyBorder="1" applyAlignment="1">
      <alignment horizontal="left" wrapText="1"/>
    </xf>
    <xf numFmtId="44" fontId="13" fillId="2" borderId="11" xfId="0" applyNumberFormat="1" applyFont="1" applyFill="1" applyBorder="1" applyAlignment="1">
      <alignment horizontal="left"/>
    </xf>
    <xf numFmtId="0" fontId="14" fillId="0" borderId="0" xfId="0" applyFont="1"/>
    <xf numFmtId="164" fontId="14" fillId="0" borderId="0" xfId="0" applyNumberFormat="1" applyFont="1" applyAlignment="1">
      <alignment horizontal="center"/>
    </xf>
    <xf numFmtId="0" fontId="1" fillId="0" borderId="0" xfId="0" applyFont="1" applyAlignment="1">
      <alignment horizontal="left" indent="1"/>
    </xf>
    <xf numFmtId="44" fontId="1" fillId="0" borderId="0" xfId="0" applyNumberFormat="1" applyFont="1"/>
    <xf numFmtId="44" fontId="1" fillId="0" borderId="1" xfId="0" applyNumberFormat="1" applyFont="1" applyBorder="1"/>
    <xf numFmtId="44" fontId="14" fillId="0" borderId="0" xfId="0" applyNumberFormat="1" applyFont="1"/>
    <xf numFmtId="0" fontId="1" fillId="0" borderId="0" xfId="0" applyFont="1"/>
    <xf numFmtId="9" fontId="11" fillId="0" borderId="0" xfId="0" applyNumberFormat="1" applyFont="1" applyAlignment="1">
      <alignment horizontal="left"/>
    </xf>
    <xf numFmtId="0" fontId="8" fillId="0" borderId="4" xfId="0" applyFont="1" applyBorder="1"/>
    <xf numFmtId="0" fontId="8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0" fontId="13" fillId="2" borderId="1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</cellXfs>
  <cellStyles count="8">
    <cellStyle name="Comma" xfId="1" builtinId="3"/>
    <cellStyle name="Comma 2" xfId="4" xr:uid="{00000000-0005-0000-0000-000001000000}"/>
    <cellStyle name="Currency" xfId="2" builtinId="4"/>
    <cellStyle name="Currency 2" xfId="5" xr:uid="{00000000-0005-0000-0000-000003000000}"/>
    <cellStyle name="Normal" xfId="0" builtinId="0"/>
    <cellStyle name="Normal 2" xfId="6" xr:uid="{00000000-0005-0000-0000-000005000000}"/>
    <cellStyle name="Percent" xfId="3" builtinId="5"/>
    <cellStyle name="Percent 2" xfId="7" xr:uid="{00000000-0005-0000-0000-000007000000}"/>
  </cellStyles>
  <dxfs count="0"/>
  <tableStyles count="0" defaultTableStyle="TableStyleMedium2" defaultPivotStyle="PivotStyleLight16"/>
  <colors>
    <mruColors>
      <color rgb="FF369992"/>
      <color rgb="FFCC6C20"/>
      <color rgb="FF2F8D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Actuarial/Acute/CY12%20Cap%20Development/Cognos/Recons/2010/ProsRecon2010%20w%20Upd%20RI%20and%20Admin%20@%20bid%20Dynamic%20TX%20Model%20Rev%2007-14-11.xls" TargetMode="External"/><Relationship Id="rId1" Type="http://schemas.openxmlformats.org/officeDocument/2006/relationships/externalLinkPath" Target="/Actuarial/Acute/CY12%20Cap%20Development/Cognos/Recons/2010/ProsRecon2010%20w%20Upd%20RI%20and%20Admin%20@%20bid%20Dynamic%20TX%20Model%20Rev%2007-14-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es"/>
      <sheetName val="Inputs"/>
      <sheetName val="Condensed Summary"/>
      <sheetName val="Admin %"/>
      <sheetName val="Overall Summary"/>
      <sheetName val="APIPASummary"/>
      <sheetName val="APIPADetail"/>
      <sheetName val="Care1stSummary"/>
      <sheetName val="Care1stDetail"/>
      <sheetName val="BridgewaySummary"/>
      <sheetName val="BridgewayDetail"/>
      <sheetName val="HCASummary"/>
      <sheetName val="HCADetail"/>
      <sheetName val="MaricopaSummary"/>
      <sheetName val="MaricopaDetail"/>
      <sheetName val="MercySummary"/>
      <sheetName val="MercyDetail"/>
      <sheetName val="PHPSummary"/>
      <sheetName val="PHPDetail"/>
      <sheetName val="PimaSummary"/>
      <sheetName val="PimaDetail"/>
      <sheetName val="UFCSummary"/>
      <sheetName val="UFCDetail"/>
    </sheetNames>
    <sheetDataSet>
      <sheetData sheetId="0" refreshError="1"/>
      <sheetData sheetId="1" refreshError="1">
        <row r="4">
          <cell r="B4">
            <v>0.02</v>
          </cell>
        </row>
        <row r="6">
          <cell r="B6" t="str">
            <v>yes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Logo colors">
  <a:themeElements>
    <a:clrScheme name="AHCCC202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69992"/>
      </a:accent1>
      <a:accent2>
        <a:srgbClr val="CC6C20"/>
      </a:accent2>
      <a:accent3>
        <a:srgbClr val="005528"/>
      </a:accent3>
      <a:accent4>
        <a:srgbClr val="8CB27B"/>
      </a:accent4>
      <a:accent5>
        <a:srgbClr val="8A3A6D"/>
      </a:accent5>
      <a:accent6>
        <a:srgbClr val="EBD4A3"/>
      </a:accent6>
      <a:hlink>
        <a:srgbClr val="005528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AC96B-2BEE-4C83-90CE-CA7CA561C08A}">
  <sheetPr>
    <pageSetUpPr fitToPage="1"/>
  </sheetPr>
  <dimension ref="A1:N62"/>
  <sheetViews>
    <sheetView view="pageLayout" zoomScaleNormal="70" workbookViewId="0">
      <selection activeCell="H59" sqref="H59"/>
    </sheetView>
  </sheetViews>
  <sheetFormatPr defaultColWidth="9.140625" defaultRowHeight="11.25" x14ac:dyDescent="0.2"/>
  <cols>
    <col min="1" max="1" width="58.85546875" style="1" customWidth="1"/>
    <col min="2" max="2" width="22" style="1" bestFit="1" customWidth="1"/>
    <col min="3" max="3" width="21.85546875" style="1" customWidth="1"/>
    <col min="4" max="4" width="22.5703125" style="1" bestFit="1" customWidth="1"/>
    <col min="5" max="5" width="20.5703125" style="1" bestFit="1" customWidth="1"/>
    <col min="6" max="6" width="13" style="1" customWidth="1"/>
    <col min="7" max="7" width="15.42578125" style="1" bestFit="1" customWidth="1"/>
    <col min="8" max="8" width="13.7109375" style="1" customWidth="1"/>
    <col min="9" max="9" width="15.7109375" style="1" bestFit="1" customWidth="1"/>
    <col min="10" max="10" width="14.28515625" style="1" bestFit="1" customWidth="1"/>
    <col min="11" max="11" width="13.85546875" style="1" bestFit="1" customWidth="1"/>
    <col min="12" max="12" width="11.5703125" style="1" bestFit="1" customWidth="1"/>
    <col min="13" max="13" width="12.85546875" style="1" bestFit="1" customWidth="1"/>
    <col min="14" max="14" width="10.7109375" style="1" bestFit="1" customWidth="1"/>
    <col min="15" max="16384" width="9.140625" style="1"/>
  </cols>
  <sheetData>
    <row r="1" spans="1:14" ht="24" customHeight="1" x14ac:dyDescent="0.25">
      <c r="A1" s="58"/>
      <c r="B1" s="59" t="s">
        <v>0</v>
      </c>
      <c r="C1" s="59" t="s">
        <v>1</v>
      </c>
      <c r="D1" s="59" t="s">
        <v>2</v>
      </c>
      <c r="E1" s="10"/>
      <c r="F1" s="10"/>
      <c r="G1" s="10"/>
      <c r="H1" s="10"/>
      <c r="I1" s="10"/>
      <c r="J1" s="10"/>
      <c r="K1"/>
    </row>
    <row r="2" spans="1:14" ht="15" x14ac:dyDescent="0.25">
      <c r="A2" s="11"/>
      <c r="B2" s="12"/>
      <c r="C2" s="12"/>
      <c r="D2" s="12"/>
      <c r="E2" s="10"/>
      <c r="F2" s="10"/>
      <c r="G2" s="10"/>
      <c r="H2" s="10"/>
      <c r="I2" s="10"/>
      <c r="J2" s="10"/>
      <c r="K2"/>
    </row>
    <row r="3" spans="1:14" ht="15" x14ac:dyDescent="0.25">
      <c r="A3" s="11" t="s">
        <v>3</v>
      </c>
      <c r="B3" s="12"/>
      <c r="C3" s="12"/>
      <c r="D3" s="12"/>
      <c r="E3" s="10"/>
      <c r="F3" s="10"/>
      <c r="G3" s="10"/>
      <c r="H3" s="10"/>
      <c r="I3" s="10"/>
      <c r="J3" s="10"/>
      <c r="K3"/>
    </row>
    <row r="4" spans="1:14" ht="15" x14ac:dyDescent="0.25">
      <c r="A4" s="13" t="s">
        <v>4</v>
      </c>
      <c r="B4" s="14"/>
      <c r="C4" s="14"/>
      <c r="D4" s="14">
        <f t="shared" ref="D4:D9" si="0">SUM(B4:C4)</f>
        <v>0</v>
      </c>
      <c r="E4" s="14"/>
      <c r="F4" s="10"/>
      <c r="G4" s="10"/>
      <c r="H4" s="10"/>
      <c r="I4" s="10"/>
      <c r="J4" s="10"/>
      <c r="K4"/>
    </row>
    <row r="5" spans="1:14" ht="15" x14ac:dyDescent="0.25">
      <c r="A5" s="13" t="s">
        <v>5</v>
      </c>
      <c r="B5" s="14"/>
      <c r="C5" s="14"/>
      <c r="D5" s="14">
        <f t="shared" si="0"/>
        <v>0</v>
      </c>
      <c r="E5" s="14"/>
      <c r="F5" s="13"/>
      <c r="G5" s="10"/>
      <c r="H5" s="10"/>
      <c r="I5" s="10"/>
      <c r="J5" s="10"/>
      <c r="K5"/>
    </row>
    <row r="6" spans="1:14" ht="15" x14ac:dyDescent="0.25">
      <c r="A6" s="13" t="s">
        <v>6</v>
      </c>
      <c r="B6" s="14"/>
      <c r="C6" s="14"/>
      <c r="D6" s="14">
        <f t="shared" si="0"/>
        <v>0</v>
      </c>
      <c r="E6" s="14"/>
      <c r="F6" s="13"/>
      <c r="G6" s="10"/>
      <c r="H6" s="10"/>
      <c r="I6" s="10"/>
      <c r="J6" s="10"/>
      <c r="K6"/>
    </row>
    <row r="7" spans="1:14" ht="15" x14ac:dyDescent="0.25">
      <c r="A7" s="13" t="s">
        <v>7</v>
      </c>
      <c r="B7" s="14"/>
      <c r="C7" s="14"/>
      <c r="D7" s="14">
        <f t="shared" si="0"/>
        <v>0</v>
      </c>
      <c r="E7" s="14"/>
      <c r="F7" s="10"/>
      <c r="G7" s="10"/>
      <c r="H7" s="13"/>
      <c r="I7" s="10"/>
      <c r="J7" s="10"/>
      <c r="K7"/>
    </row>
    <row r="8" spans="1:14" ht="15" x14ac:dyDescent="0.25">
      <c r="A8" s="13" t="s">
        <v>8</v>
      </c>
      <c r="B8" s="14"/>
      <c r="C8" s="14"/>
      <c r="D8" s="14">
        <f t="shared" si="0"/>
        <v>0</v>
      </c>
      <c r="E8" s="10"/>
      <c r="F8" s="10"/>
      <c r="G8" s="10"/>
      <c r="H8" s="13"/>
      <c r="I8" s="10"/>
      <c r="J8" s="10"/>
      <c r="K8"/>
    </row>
    <row r="9" spans="1:14" ht="15" x14ac:dyDescent="0.25">
      <c r="A9" s="11" t="s">
        <v>9</v>
      </c>
      <c r="B9" s="42"/>
      <c r="C9" s="42"/>
      <c r="D9" s="42">
        <f t="shared" si="0"/>
        <v>0</v>
      </c>
      <c r="E9" s="10"/>
      <c r="F9" s="10"/>
      <c r="G9" s="10"/>
      <c r="H9" s="13"/>
      <c r="I9" s="10"/>
      <c r="J9" s="10"/>
      <c r="K9"/>
      <c r="L9" s="5"/>
      <c r="M9" s="5"/>
      <c r="N9" s="5"/>
    </row>
    <row r="10" spans="1:14" s="4" customFormat="1" ht="15" x14ac:dyDescent="0.25">
      <c r="B10" s="15">
        <f>SUM(B4:B6)-SUM(B7:B8,B9)</f>
        <v>0</v>
      </c>
      <c r="C10" s="15">
        <f>SUM(C4:C6)-SUM(C7:C8,C9)</f>
        <v>0</v>
      </c>
      <c r="D10" s="15">
        <f>SUM(D4:D6)-SUM(D7:D8,D9)</f>
        <v>0</v>
      </c>
      <c r="E10" s="10"/>
      <c r="F10" s="10"/>
      <c r="G10" s="10"/>
      <c r="H10" s="11"/>
      <c r="I10" s="10"/>
      <c r="J10" s="10"/>
      <c r="K10"/>
      <c r="L10" s="6"/>
      <c r="M10" s="6"/>
      <c r="N10" s="6"/>
    </row>
    <row r="11" spans="1:14" ht="15" x14ac:dyDescent="0.25">
      <c r="A11" s="11"/>
      <c r="B11" s="10"/>
      <c r="C11" s="10"/>
      <c r="D11" s="10"/>
      <c r="E11" s="10"/>
      <c r="F11" s="10"/>
      <c r="G11" s="10"/>
      <c r="H11" s="10"/>
      <c r="I11" s="10"/>
      <c r="J11" s="10"/>
      <c r="K11"/>
      <c r="M11" s="5"/>
    </row>
    <row r="12" spans="1:14" ht="15" x14ac:dyDescent="0.25">
      <c r="A12" s="11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/>
    </row>
    <row r="13" spans="1:14" ht="15" x14ac:dyDescent="0.25">
      <c r="A13" s="13" t="s">
        <v>11</v>
      </c>
      <c r="B13" s="14"/>
      <c r="C13" s="14"/>
      <c r="D13" s="14">
        <f>SUM(B13:C13)</f>
        <v>0</v>
      </c>
      <c r="E13" s="10"/>
      <c r="F13" s="10"/>
      <c r="G13" s="10"/>
      <c r="H13" s="10"/>
      <c r="I13" s="10"/>
      <c r="J13" s="10"/>
      <c r="K13"/>
    </row>
    <row r="14" spans="1:14" ht="15" x14ac:dyDescent="0.25">
      <c r="A14" s="13" t="s">
        <v>12</v>
      </c>
      <c r="B14" s="14"/>
      <c r="C14" s="14"/>
      <c r="D14" s="14">
        <f>SUM(B14:C14)</f>
        <v>0</v>
      </c>
      <c r="E14" s="10"/>
      <c r="F14" s="10"/>
      <c r="G14" s="10"/>
      <c r="H14" s="10"/>
      <c r="I14" s="10"/>
      <c r="J14" s="10"/>
      <c r="K14"/>
    </row>
    <row r="15" spans="1:14" ht="15" x14ac:dyDescent="0.25">
      <c r="A15" s="13" t="s">
        <v>13</v>
      </c>
      <c r="B15" s="14"/>
      <c r="C15" s="14"/>
      <c r="D15" s="14">
        <f>SUM(B15:C15)</f>
        <v>0</v>
      </c>
      <c r="E15" s="10"/>
      <c r="F15" s="10"/>
      <c r="G15" s="10"/>
      <c r="H15" s="10"/>
      <c r="I15" s="10"/>
      <c r="J15" s="10"/>
      <c r="K15"/>
      <c r="M15" s="5"/>
    </row>
    <row r="16" spans="1:14" ht="15" x14ac:dyDescent="0.25">
      <c r="A16" s="13" t="s">
        <v>14</v>
      </c>
      <c r="B16" s="42"/>
      <c r="C16" s="42"/>
      <c r="D16" s="42">
        <f>SUM(B16:C16)</f>
        <v>0</v>
      </c>
      <c r="E16" s="10"/>
      <c r="F16" s="10"/>
      <c r="G16" s="10"/>
      <c r="H16" s="10"/>
      <c r="I16" s="10"/>
      <c r="J16" s="10"/>
      <c r="K16"/>
      <c r="M16" s="5"/>
    </row>
    <row r="17" spans="1:13" ht="15" x14ac:dyDescent="0.25">
      <c r="A17" s="11" t="s">
        <v>15</v>
      </c>
      <c r="B17" s="15">
        <f>SUM(B13:B15)-B16</f>
        <v>0</v>
      </c>
      <c r="C17" s="15">
        <f>SUM(C13:C15)-C16</f>
        <v>0</v>
      </c>
      <c r="D17" s="15">
        <f>SUM(D13:D15)-D16</f>
        <v>0</v>
      </c>
      <c r="E17" s="10"/>
      <c r="F17" s="10"/>
      <c r="G17" s="10"/>
      <c r="H17" s="10"/>
      <c r="I17" s="10"/>
      <c r="J17" s="10"/>
      <c r="K17"/>
    </row>
    <row r="18" spans="1:13" ht="15" x14ac:dyDescent="0.25">
      <c r="A18" s="11"/>
      <c r="B18" s="14"/>
      <c r="C18" s="14"/>
      <c r="D18" s="14"/>
      <c r="E18" s="10"/>
      <c r="F18" s="10"/>
      <c r="G18" s="10"/>
      <c r="H18" s="10"/>
      <c r="I18" s="10"/>
      <c r="J18" s="10"/>
      <c r="K18"/>
    </row>
    <row r="19" spans="1:13" ht="15" x14ac:dyDescent="0.25">
      <c r="A19" s="11" t="s">
        <v>16</v>
      </c>
      <c r="B19" s="15">
        <f>B17*0.01</f>
        <v>0</v>
      </c>
      <c r="C19" s="15">
        <f>C17*0.01</f>
        <v>0</v>
      </c>
      <c r="D19" s="15">
        <f>SUM(B19:C19)</f>
        <v>0</v>
      </c>
      <c r="E19" s="10"/>
      <c r="F19" s="10"/>
      <c r="G19" s="10"/>
      <c r="H19" s="10"/>
      <c r="I19" s="10"/>
      <c r="J19" s="10"/>
      <c r="K19"/>
    </row>
    <row r="20" spans="1:13" ht="15" x14ac:dyDescent="0.25">
      <c r="A20" s="11"/>
      <c r="B20" s="15"/>
      <c r="C20" s="15"/>
      <c r="D20" s="15"/>
      <c r="E20" s="10"/>
      <c r="F20" s="10"/>
      <c r="G20" s="10"/>
      <c r="H20" s="10"/>
      <c r="I20" s="10"/>
      <c r="J20" s="10"/>
      <c r="K20"/>
    </row>
    <row r="21" spans="1:13" ht="15" x14ac:dyDescent="0.25">
      <c r="A21" s="11"/>
      <c r="B21" s="14"/>
      <c r="C21" s="14"/>
      <c r="D21" s="14"/>
      <c r="E21" s="10"/>
      <c r="F21" s="10"/>
      <c r="G21" s="10"/>
      <c r="H21" s="10"/>
      <c r="I21" s="10"/>
      <c r="J21" s="10"/>
      <c r="K21"/>
    </row>
    <row r="22" spans="1:13" ht="39" customHeight="1" x14ac:dyDescent="0.25">
      <c r="A22" s="69" t="s">
        <v>17</v>
      </c>
      <c r="B22" s="70">
        <f>B10-B17-B19</f>
        <v>0</v>
      </c>
      <c r="C22" s="70">
        <f>C10-C17-C19</f>
        <v>0</v>
      </c>
      <c r="D22" s="70">
        <f>D10-D17-D19</f>
        <v>0</v>
      </c>
      <c r="E22" s="10"/>
      <c r="F22" s="10"/>
      <c r="G22" s="10"/>
      <c r="H22" s="10"/>
      <c r="I22" s="10"/>
      <c r="J22" s="10"/>
      <c r="K22"/>
    </row>
    <row r="23" spans="1:13" ht="15" x14ac:dyDescent="0.25">
      <c r="A23" s="11" t="s">
        <v>18</v>
      </c>
      <c r="B23" s="57">
        <f>IF(B10=0,0,B22/B10)</f>
        <v>0</v>
      </c>
      <c r="C23" s="57">
        <f t="shared" ref="C23:D23" si="1">IF(C10=0,0,C22/C10)</f>
        <v>0</v>
      </c>
      <c r="D23" s="57">
        <f t="shared" si="1"/>
        <v>0</v>
      </c>
      <c r="E23" s="10"/>
      <c r="F23" s="10"/>
      <c r="G23" s="10"/>
      <c r="H23" s="10"/>
      <c r="I23" s="10"/>
      <c r="J23" s="10"/>
      <c r="K23"/>
    </row>
    <row r="24" spans="1:13" ht="15" x14ac:dyDescent="0.25">
      <c r="A24" s="10" t="s">
        <v>19</v>
      </c>
      <c r="B24" s="27"/>
      <c r="C24" s="27"/>
      <c r="D24" s="27">
        <f>SUM(B24:C24)</f>
        <v>0</v>
      </c>
      <c r="E24" s="10"/>
      <c r="F24" s="10"/>
      <c r="G24" s="10"/>
      <c r="H24" s="10"/>
      <c r="I24" s="10"/>
      <c r="J24" s="10"/>
      <c r="K24"/>
    </row>
    <row r="25" spans="1:13" ht="15" x14ac:dyDescent="0.25">
      <c r="A25" s="10"/>
      <c r="B25" s="27"/>
      <c r="C25" s="27"/>
      <c r="D25" s="27"/>
      <c r="E25" s="27"/>
      <c r="F25" s="27"/>
      <c r="G25" s="27"/>
      <c r="H25" s="27"/>
      <c r="I25" s="27"/>
      <c r="J25" s="27"/>
      <c r="K25"/>
    </row>
    <row r="26" spans="1:13" ht="22.5" customHeight="1" x14ac:dyDescent="0.25">
      <c r="A26" s="87" t="s">
        <v>20</v>
      </c>
      <c r="B26" s="87"/>
      <c r="C26" s="87"/>
      <c r="D26" s="87"/>
      <c r="E26" s="87"/>
      <c r="F26" s="87"/>
      <c r="G26" s="87"/>
      <c r="H26" s="10"/>
      <c r="I26" s="10"/>
      <c r="J26" s="10"/>
      <c r="K26" s="3"/>
    </row>
    <row r="27" spans="1:13" ht="15" x14ac:dyDescent="0.25">
      <c r="A27" s="11"/>
      <c r="B27" s="10"/>
      <c r="C27" s="28"/>
      <c r="D27" s="26"/>
      <c r="E27" s="10"/>
      <c r="F27" s="29"/>
      <c r="G27" s="29"/>
      <c r="H27" s="10"/>
      <c r="I27" s="10"/>
      <c r="J27" s="10"/>
      <c r="K27" s="2"/>
    </row>
    <row r="28" spans="1:13" ht="15" x14ac:dyDescent="0.25">
      <c r="A28" s="50" t="s">
        <v>9</v>
      </c>
      <c r="B28" s="14">
        <f>D10</f>
        <v>0</v>
      </c>
      <c r="C28" s="51"/>
      <c r="D28" s="14"/>
      <c r="E28" s="10"/>
      <c r="F28" s="10"/>
      <c r="G28" s="10"/>
      <c r="H28" s="10"/>
      <c r="I28" s="10"/>
      <c r="J28" s="10"/>
      <c r="K28" s="7"/>
      <c r="L28"/>
      <c r="M28"/>
    </row>
    <row r="29" spans="1:13" ht="15" x14ac:dyDescent="0.25">
      <c r="A29" s="10" t="s">
        <v>21</v>
      </c>
      <c r="B29" s="14">
        <f>D22</f>
        <v>0</v>
      </c>
      <c r="C29" s="14"/>
      <c r="D29" s="14"/>
      <c r="E29" s="10"/>
      <c r="F29" s="10"/>
      <c r="G29" s="10"/>
      <c r="H29" s="10"/>
      <c r="I29" s="10"/>
      <c r="J29" s="10"/>
      <c r="K29" s="7"/>
      <c r="L29"/>
      <c r="M29"/>
    </row>
    <row r="30" spans="1:13" ht="15" x14ac:dyDescent="0.25">
      <c r="A30" s="10" t="s">
        <v>18</v>
      </c>
      <c r="B30" s="26">
        <f>IF(B28=0,0,B29/B28)</f>
        <v>0</v>
      </c>
      <c r="C30" s="14"/>
      <c r="D30" s="14"/>
      <c r="E30" s="14"/>
      <c r="F30" s="10"/>
      <c r="G30" s="10"/>
      <c r="H30" s="10"/>
      <c r="I30" s="10"/>
      <c r="J30" s="10"/>
      <c r="K30" s="7"/>
      <c r="L30"/>
      <c r="M30"/>
    </row>
    <row r="31" spans="1:13" ht="15" x14ac:dyDescent="0.25">
      <c r="A31" s="10"/>
      <c r="B31" s="14"/>
      <c r="C31" s="14"/>
      <c r="D31" s="14"/>
      <c r="E31" s="14"/>
      <c r="F31" s="10"/>
      <c r="G31" s="10"/>
      <c r="H31" s="10"/>
      <c r="I31" s="10"/>
      <c r="J31" s="10"/>
      <c r="K31" s="7"/>
      <c r="L31"/>
      <c r="M31"/>
    </row>
    <row r="32" spans="1:13" ht="15" x14ac:dyDescent="0.25">
      <c r="A32" s="10"/>
      <c r="B32" s="30"/>
      <c r="C32" s="14"/>
      <c r="D32" s="14"/>
      <c r="E32" s="14"/>
      <c r="F32" s="14"/>
      <c r="G32" s="10"/>
      <c r="H32" s="10"/>
      <c r="I32" s="10"/>
      <c r="J32" s="10"/>
      <c r="K32" s="7"/>
      <c r="L32"/>
      <c r="M32"/>
    </row>
    <row r="33" spans="1:13" ht="15" x14ac:dyDescent="0.25">
      <c r="A33" s="10"/>
      <c r="B33" s="10"/>
      <c r="C33" s="10"/>
      <c r="D33" s="14"/>
      <c r="E33" s="14"/>
      <c r="F33" s="10"/>
      <c r="G33" s="10"/>
      <c r="H33" s="10"/>
      <c r="I33" s="10"/>
      <c r="J33" s="10"/>
      <c r="K33" s="7"/>
      <c r="L33"/>
      <c r="M33"/>
    </row>
    <row r="34" spans="1:13" ht="15" x14ac:dyDescent="0.25">
      <c r="A34" s="11" t="s">
        <v>22</v>
      </c>
      <c r="B34" s="14">
        <f>IF(B29&gt;0,-SUM(E43:E46),-SUM(E49:E53))</f>
        <v>0</v>
      </c>
      <c r="C34" s="14"/>
      <c r="D34" s="14"/>
      <c r="E34" s="14"/>
      <c r="F34" s="14"/>
      <c r="G34" s="10"/>
      <c r="H34" s="10"/>
      <c r="I34" s="14"/>
      <c r="J34" s="10"/>
      <c r="K34" s="7"/>
      <c r="L34"/>
      <c r="M34"/>
    </row>
    <row r="35" spans="1:13" ht="15" x14ac:dyDescent="0.25">
      <c r="A35" s="52"/>
      <c r="B35" s="14"/>
      <c r="C35" s="10"/>
      <c r="D35" s="14"/>
      <c r="E35" s="14"/>
      <c r="F35" s="10"/>
      <c r="G35" s="10"/>
      <c r="H35" s="10"/>
      <c r="I35" s="14"/>
      <c r="J35" s="10"/>
      <c r="K35" s="7"/>
      <c r="L35"/>
      <c r="M35"/>
    </row>
    <row r="36" spans="1:13" ht="15" x14ac:dyDescent="0.25">
      <c r="A36" s="52" t="s">
        <v>23</v>
      </c>
      <c r="B36" s="14"/>
      <c r="C36" s="10"/>
      <c r="D36" s="14"/>
      <c r="E36" s="14"/>
      <c r="F36" s="10"/>
      <c r="G36" s="10"/>
      <c r="H36" s="10"/>
      <c r="I36" s="14"/>
      <c r="J36" s="10"/>
      <c r="K36" s="7"/>
      <c r="L36"/>
      <c r="M36"/>
    </row>
    <row r="37" spans="1:13" ht="15" x14ac:dyDescent="0.25">
      <c r="A37" s="52"/>
      <c r="B37" s="14"/>
      <c r="C37" s="10"/>
      <c r="D37" s="14"/>
      <c r="E37" s="14"/>
      <c r="F37" s="10"/>
      <c r="G37" s="10"/>
      <c r="H37" s="10"/>
      <c r="I37" s="14"/>
      <c r="J37" s="10"/>
      <c r="K37" s="7"/>
      <c r="L37"/>
      <c r="M37"/>
    </row>
    <row r="38" spans="1:13" ht="15" x14ac:dyDescent="0.25">
      <c r="A38" s="11" t="s">
        <v>24</v>
      </c>
      <c r="B38" s="14">
        <f>SUM(B34,B36)/0.98-SUM(B34,B36)</f>
        <v>0</v>
      </c>
      <c r="C38" s="53"/>
      <c r="D38" s="14"/>
      <c r="E38" s="10"/>
      <c r="F38" s="10"/>
      <c r="G38" s="10"/>
      <c r="H38" s="10"/>
      <c r="I38" s="10"/>
      <c r="J38" s="10"/>
      <c r="K38" s="7"/>
      <c r="L38"/>
      <c r="M38"/>
    </row>
    <row r="39" spans="1:13" ht="15.75" thickBot="1" x14ac:dyDescent="0.3">
      <c r="A39" s="11" t="s">
        <v>25</v>
      </c>
      <c r="B39" s="54">
        <f>SUM(B34+B36+B38)</f>
        <v>0</v>
      </c>
      <c r="C39" s="10"/>
      <c r="D39" s="10"/>
      <c r="E39" s="10"/>
      <c r="F39" s="10"/>
      <c r="G39" s="10"/>
      <c r="H39" s="10"/>
      <c r="I39" s="10"/>
      <c r="J39" s="10"/>
      <c r="K39" s="7"/>
      <c r="L39"/>
      <c r="M39"/>
    </row>
    <row r="40" spans="1:13" ht="15.75" thickTop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7"/>
      <c r="L40"/>
      <c r="M40"/>
    </row>
    <row r="41" spans="1:13" ht="15" x14ac:dyDescent="0.25">
      <c r="A41" s="10"/>
      <c r="B41" s="14"/>
      <c r="C41" s="21"/>
      <c r="D41" s="21" t="s">
        <v>26</v>
      </c>
      <c r="E41" s="21"/>
      <c r="F41" s="21"/>
      <c r="G41" s="21"/>
      <c r="H41" s="10"/>
      <c r="I41" s="10"/>
      <c r="J41" s="10"/>
      <c r="K41" s="2"/>
    </row>
    <row r="42" spans="1:13" ht="15" x14ac:dyDescent="0.25">
      <c r="A42" s="11" t="s">
        <v>27</v>
      </c>
      <c r="B42" s="10" t="s">
        <v>28</v>
      </c>
      <c r="C42" s="21" t="s">
        <v>29</v>
      </c>
      <c r="D42" s="21" t="s">
        <v>30</v>
      </c>
      <c r="E42" s="21" t="s">
        <v>31</v>
      </c>
      <c r="F42" s="21"/>
      <c r="G42" s="21" t="s">
        <v>32</v>
      </c>
      <c r="H42" s="10"/>
      <c r="I42" s="10"/>
      <c r="J42" s="21"/>
      <c r="K42" s="2"/>
    </row>
    <row r="43" spans="1:13" ht="15" x14ac:dyDescent="0.25">
      <c r="A43" s="10"/>
      <c r="B43" s="22" t="s">
        <v>33</v>
      </c>
      <c r="C43" s="31">
        <v>0</v>
      </c>
      <c r="D43" s="32">
        <f>IF(G43&lt;=0,0,IF($B$28*0.02&gt;G43,G43,$B$28*0.02))</f>
        <v>0</v>
      </c>
      <c r="E43" s="32">
        <f>+C43*D43</f>
        <v>0</v>
      </c>
      <c r="F43" s="10"/>
      <c r="G43" s="24">
        <f>+IF(B29&lt;0,0,B29)</f>
        <v>0</v>
      </c>
      <c r="H43" s="24"/>
      <c r="I43" s="10"/>
      <c r="J43" s="32"/>
      <c r="K43" s="2"/>
    </row>
    <row r="44" spans="1:13" ht="15" x14ac:dyDescent="0.25">
      <c r="A44" s="10"/>
      <c r="B44" s="22" t="s">
        <v>34</v>
      </c>
      <c r="C44" s="31">
        <v>0.25</v>
      </c>
      <c r="D44" s="32">
        <f>IF(G44&lt;=0,0,IF($B$28*0.02&gt;G44,G44,$B$28*0.02))</f>
        <v>0</v>
      </c>
      <c r="E44" s="32">
        <f>+C44*D44</f>
        <v>0</v>
      </c>
      <c r="F44" s="10"/>
      <c r="G44" s="24">
        <f>+G43-D43</f>
        <v>0</v>
      </c>
      <c r="H44" s="24"/>
      <c r="I44" s="10"/>
      <c r="J44" s="32"/>
      <c r="K44" s="2"/>
    </row>
    <row r="45" spans="1:13" ht="15" x14ac:dyDescent="0.25">
      <c r="A45" s="10"/>
      <c r="B45" s="22" t="s">
        <v>35</v>
      </c>
      <c r="C45" s="31">
        <v>0.75</v>
      </c>
      <c r="D45" s="32">
        <f>IF(G45&lt;=0,0,IF($B$28*0.03&gt;G45,G45,$B$28*0.03))</f>
        <v>0</v>
      </c>
      <c r="E45" s="32">
        <f>+C45*D45</f>
        <v>0</v>
      </c>
      <c r="F45" s="10"/>
      <c r="G45" s="24">
        <f>+G44-D44</f>
        <v>0</v>
      </c>
      <c r="H45" s="24"/>
      <c r="I45" s="10"/>
      <c r="J45" s="32"/>
      <c r="K45" s="2"/>
    </row>
    <row r="46" spans="1:13" ht="15" x14ac:dyDescent="0.25">
      <c r="A46" s="10"/>
      <c r="B46" s="22" t="s">
        <v>36</v>
      </c>
      <c r="C46" s="31">
        <v>1</v>
      </c>
      <c r="D46" s="32">
        <f>IF(G46&lt;=0,0,IF($B$28*0.93&gt;G46,G46,$B$28*0.93))</f>
        <v>0</v>
      </c>
      <c r="E46" s="32">
        <f>+C46*D46</f>
        <v>0</v>
      </c>
      <c r="F46" s="10"/>
      <c r="G46" s="24">
        <f>+G45-D45</f>
        <v>0</v>
      </c>
      <c r="H46" s="30"/>
      <c r="I46" s="10"/>
      <c r="J46" s="32"/>
      <c r="K46" s="2"/>
    </row>
    <row r="47" spans="1:13" ht="15" x14ac:dyDescent="0.25">
      <c r="A47" s="10"/>
      <c r="B47" s="14"/>
      <c r="C47" s="21"/>
      <c r="D47" s="21" t="s">
        <v>37</v>
      </c>
      <c r="E47" s="21"/>
      <c r="F47" s="21"/>
      <c r="G47" s="21"/>
      <c r="H47" s="10"/>
      <c r="I47" s="10"/>
      <c r="J47" s="33"/>
      <c r="K47" s="2"/>
    </row>
    <row r="48" spans="1:13" ht="15" x14ac:dyDescent="0.25">
      <c r="A48" s="11" t="s">
        <v>27</v>
      </c>
      <c r="B48" s="10" t="s">
        <v>38</v>
      </c>
      <c r="C48" s="21" t="s">
        <v>29</v>
      </c>
      <c r="D48" s="21" t="s">
        <v>30</v>
      </c>
      <c r="E48" s="21" t="s">
        <v>39</v>
      </c>
      <c r="F48" s="21"/>
      <c r="G48" s="21" t="s">
        <v>32</v>
      </c>
      <c r="H48" s="10"/>
      <c r="I48" s="10"/>
      <c r="J48" s="33"/>
      <c r="K48" s="2"/>
    </row>
    <row r="49" spans="1:11" ht="15" x14ac:dyDescent="0.25">
      <c r="A49" s="10"/>
      <c r="B49" s="22" t="s">
        <v>40</v>
      </c>
      <c r="C49" s="31">
        <v>0</v>
      </c>
      <c r="D49" s="32">
        <f>IF(G49&gt;=0,0,IF(-$B$28*0.01&lt;G49,G49,-$B$28*0.01))</f>
        <v>0</v>
      </c>
      <c r="E49" s="32">
        <f>+D49*C49</f>
        <v>0</v>
      </c>
      <c r="F49" s="10"/>
      <c r="G49" s="24">
        <f>+IF(B29&gt;0,0,B29)</f>
        <v>0</v>
      </c>
      <c r="H49" s="24"/>
      <c r="I49" s="10"/>
      <c r="J49" s="32"/>
      <c r="K49" s="2"/>
    </row>
    <row r="50" spans="1:11" ht="15" x14ac:dyDescent="0.25">
      <c r="A50" s="10"/>
      <c r="B50" s="55" t="s">
        <v>41</v>
      </c>
      <c r="C50" s="31">
        <v>0.25</v>
      </c>
      <c r="D50" s="32">
        <f>IF(G50&gt;0,0,IF(-$B$28*0.01&lt;G50,G50,-$B$28*0.01))</f>
        <v>0</v>
      </c>
      <c r="E50" s="32">
        <f>+D50*C50</f>
        <v>0</v>
      </c>
      <c r="F50" s="10"/>
      <c r="G50" s="24">
        <f>G49-D49</f>
        <v>0</v>
      </c>
      <c r="H50" s="24"/>
      <c r="I50" s="10"/>
      <c r="J50" s="32"/>
      <c r="K50" s="2"/>
    </row>
    <row r="51" spans="1:11" ht="15" x14ac:dyDescent="0.25">
      <c r="A51" s="10"/>
      <c r="B51" s="56" t="s">
        <v>42</v>
      </c>
      <c r="C51" s="31">
        <v>0.5</v>
      </c>
      <c r="D51" s="32">
        <f>IF(G51&gt;0,0,IF(-$B$28*0.01&lt;G51,G51,-$B$28*0.01))</f>
        <v>0</v>
      </c>
      <c r="E51" s="32">
        <f>+D51*C51</f>
        <v>0</v>
      </c>
      <c r="F51" s="10"/>
      <c r="G51" s="24">
        <f>G50-D50</f>
        <v>0</v>
      </c>
      <c r="H51" s="24"/>
      <c r="I51" s="10"/>
      <c r="J51" s="32"/>
      <c r="K51" s="2"/>
    </row>
    <row r="52" spans="1:11" ht="15" x14ac:dyDescent="0.25">
      <c r="A52" s="10"/>
      <c r="B52" s="56" t="s">
        <v>43</v>
      </c>
      <c r="C52" s="31">
        <v>0.75</v>
      </c>
      <c r="D52" s="32">
        <f>IF(G52&gt;0,0,IF(-$B$28*0.01&lt;G52,G52,-$B$28*0.01))</f>
        <v>0</v>
      </c>
      <c r="E52" s="32">
        <f>+D52*C52</f>
        <v>0</v>
      </c>
      <c r="F52" s="10"/>
      <c r="G52" s="24">
        <f>G51-D51</f>
        <v>0</v>
      </c>
      <c r="H52" s="24"/>
      <c r="I52" s="10"/>
      <c r="J52" s="32"/>
      <c r="K52" s="2"/>
    </row>
    <row r="53" spans="1:11" ht="15" x14ac:dyDescent="0.25">
      <c r="A53" s="10"/>
      <c r="B53" s="22" t="s">
        <v>44</v>
      </c>
      <c r="C53" s="31">
        <v>1</v>
      </c>
      <c r="D53" s="32">
        <f>IF(G53&gt;0,0,IF(-$B$28*0.96&lt;G53,G53,-$B$28*0.96))</f>
        <v>0</v>
      </c>
      <c r="E53" s="32">
        <f>+D53*C53</f>
        <v>0</v>
      </c>
      <c r="F53" s="10"/>
      <c r="G53" s="24">
        <f>G52-D52</f>
        <v>0</v>
      </c>
      <c r="H53" s="24"/>
      <c r="I53" s="10"/>
      <c r="J53" s="32"/>
      <c r="K53" s="2"/>
    </row>
    <row r="54" spans="1:11" ht="15" x14ac:dyDescent="0.25">
      <c r="A54" s="10"/>
      <c r="B54" s="22"/>
      <c r="C54" s="31"/>
      <c r="D54" s="32"/>
      <c r="E54" s="32"/>
      <c r="F54" s="10"/>
      <c r="G54" s="24"/>
      <c r="H54" s="24"/>
      <c r="I54" s="10"/>
      <c r="J54" s="32"/>
      <c r="K54" s="2"/>
    </row>
    <row r="55" spans="1:11" ht="15.75" thickBot="1" x14ac:dyDescent="0.3">
      <c r="A55" s="10"/>
      <c r="B55" s="10"/>
      <c r="C55" s="10"/>
      <c r="D55" s="10"/>
      <c r="E55" s="10"/>
      <c r="F55" s="34"/>
      <c r="G55" s="10"/>
      <c r="H55" s="10"/>
      <c r="I55" s="10"/>
      <c r="J55" s="10"/>
      <c r="K55" s="2"/>
    </row>
    <row r="56" spans="1:11" ht="15" x14ac:dyDescent="0.25">
      <c r="A56" s="43" t="s">
        <v>45</v>
      </c>
      <c r="B56" s="44"/>
      <c r="C56" s="44"/>
      <c r="D56" s="44"/>
      <c r="E56" s="44"/>
      <c r="F56" s="45"/>
      <c r="G56" s="10"/>
      <c r="H56" s="10"/>
      <c r="I56" s="10"/>
      <c r="J56" s="10"/>
      <c r="K56" s="7"/>
    </row>
    <row r="57" spans="1:11" ht="15" x14ac:dyDescent="0.25">
      <c r="A57" s="46" t="s">
        <v>46</v>
      </c>
      <c r="B57" s="10"/>
      <c r="C57" s="10"/>
      <c r="D57" s="10"/>
      <c r="E57" s="10"/>
      <c r="F57" s="47"/>
      <c r="G57" s="10"/>
      <c r="H57" s="10"/>
      <c r="I57" s="10"/>
      <c r="J57" s="10"/>
      <c r="K57" s="7"/>
    </row>
    <row r="58" spans="1:11" ht="15" x14ac:dyDescent="0.25">
      <c r="A58" s="46" t="s">
        <v>47</v>
      </c>
      <c r="B58" s="10"/>
      <c r="C58" s="10"/>
      <c r="D58" s="10"/>
      <c r="E58" s="10"/>
      <c r="F58" s="47"/>
      <c r="G58" s="10"/>
      <c r="H58" s="10"/>
      <c r="I58" s="10"/>
      <c r="J58" s="10"/>
      <c r="K58" s="7"/>
    </row>
    <row r="59" spans="1:11" ht="15" x14ac:dyDescent="0.25">
      <c r="A59" s="46" t="s">
        <v>48</v>
      </c>
      <c r="B59" s="10"/>
      <c r="C59" s="10"/>
      <c r="D59" s="10"/>
      <c r="E59" s="10"/>
      <c r="F59" s="47"/>
      <c r="G59" s="10"/>
      <c r="H59" s="10"/>
      <c r="I59" s="10"/>
      <c r="J59" s="10"/>
      <c r="K59" s="7"/>
    </row>
    <row r="60" spans="1:11" ht="15" x14ac:dyDescent="0.25">
      <c r="A60" s="46" t="s">
        <v>49</v>
      </c>
      <c r="B60" s="10"/>
      <c r="C60" s="10"/>
      <c r="D60" s="10"/>
      <c r="E60" s="10"/>
      <c r="F60" s="47"/>
      <c r="G60" s="10"/>
      <c r="H60" s="10"/>
      <c r="I60" s="10"/>
      <c r="J60" s="10"/>
      <c r="K60" s="2"/>
    </row>
    <row r="61" spans="1:11" ht="15.75" thickBot="1" x14ac:dyDescent="0.3">
      <c r="A61" s="48" t="s">
        <v>50</v>
      </c>
      <c r="B61" s="34"/>
      <c r="C61" s="34"/>
      <c r="D61" s="34"/>
      <c r="E61" s="34"/>
      <c r="F61" s="49"/>
      <c r="G61" s="10"/>
      <c r="H61" s="10"/>
      <c r="I61" s="10"/>
      <c r="J61" s="10"/>
      <c r="K61" s="2"/>
    </row>
    <row r="62" spans="1:11" ht="15.75" x14ac:dyDescent="0.25">
      <c r="A62" s="9"/>
      <c r="B62" s="8"/>
      <c r="C62" s="8"/>
      <c r="D62" s="8"/>
      <c r="E62" s="8"/>
      <c r="F62" s="8"/>
      <c r="G62" s="8"/>
      <c r="H62" s="8"/>
      <c r="I62" s="8"/>
      <c r="J62" s="2"/>
      <c r="K62" s="2"/>
    </row>
  </sheetData>
  <mergeCells count="1">
    <mergeCell ref="A26:G26"/>
  </mergeCells>
  <pageMargins left="0.75" right="0.75" top="1.16458333333333" bottom="0.73906249999999996" header="0.5" footer="0.5"/>
  <pageSetup scale="50" orientation="landscape" r:id="rId1"/>
  <headerFooter alignWithMargins="0">
    <oddHeader>&amp;L&amp;G&amp;C&amp;"-,Bold"&amp;12&amp;K369992AHCCCS CONTRACTOR OPERATIONS MANUAL - 
POLICY 301 CYE 27 FWD - ATTACHMENT A - 
ALTCS E/PD PROGRAM TIERED RECONCILIATION - EXAMPLE
FOR THE CONTRACT YEAR ENDED 09/30/xx
AS OF: xx/xx/xx
&amp;KFF0000IMPLEMENTATION DATE 10/01/26</oddHeader>
    <oddFooter>&amp;L&amp;"-,Regular"&amp;K369992Effective Date:  &amp;K36999210/01/26&amp;K369992
Approval Date: &amp;K369992 08/07/26&amp;C&amp;"-,Bold"&amp;11&amp;K369992 301 CYE 27 FWD - Attachment A - 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view="pageLayout" zoomScale="110" zoomScaleNormal="120" zoomScalePageLayoutView="110" workbookViewId="0">
      <selection activeCell="F21" sqref="F21"/>
    </sheetView>
  </sheetViews>
  <sheetFormatPr defaultColWidth="9.140625" defaultRowHeight="11.25" x14ac:dyDescent="0.2"/>
  <cols>
    <col min="1" max="1" width="84.85546875" style="1" customWidth="1"/>
    <col min="2" max="2" width="22" style="1" bestFit="1" customWidth="1"/>
    <col min="3" max="3" width="21.85546875" style="1" customWidth="1"/>
    <col min="4" max="4" width="22.5703125" style="1" bestFit="1" customWidth="1"/>
    <col min="5" max="5" width="20.5703125" style="1" bestFit="1" customWidth="1"/>
    <col min="6" max="6" width="13" style="1" customWidth="1"/>
    <col min="7" max="7" width="15.42578125" style="1" bestFit="1" customWidth="1"/>
    <col min="8" max="8" width="13.7109375" style="1" customWidth="1"/>
    <col min="9" max="9" width="15.7109375" style="1" bestFit="1" customWidth="1"/>
    <col min="10" max="10" width="14.28515625" style="1" bestFit="1" customWidth="1"/>
    <col min="11" max="11" width="13.85546875" style="1" bestFit="1" customWidth="1"/>
    <col min="12" max="12" width="11.5703125" style="1" bestFit="1" customWidth="1"/>
    <col min="13" max="13" width="12.85546875" style="1" bestFit="1" customWidth="1"/>
    <col min="14" max="14" width="10.7109375" style="1" bestFit="1" customWidth="1"/>
    <col min="15" max="16384" width="9.140625" style="1"/>
  </cols>
  <sheetData>
    <row r="1" spans="1:14" ht="24" customHeight="1" x14ac:dyDescent="0.25">
      <c r="A1" s="58"/>
      <c r="B1" s="59" t="s">
        <v>0</v>
      </c>
      <c r="C1" s="59" t="s">
        <v>1</v>
      </c>
      <c r="D1" s="59" t="s">
        <v>2</v>
      </c>
      <c r="E1" s="10"/>
      <c r="F1" s="10"/>
      <c r="G1" s="10"/>
      <c r="H1" s="10"/>
      <c r="I1" s="10"/>
      <c r="J1" s="10"/>
      <c r="K1"/>
    </row>
    <row r="2" spans="1:14" ht="15" x14ac:dyDescent="0.25">
      <c r="A2" s="11"/>
      <c r="B2" s="12"/>
      <c r="C2" s="12"/>
      <c r="D2" s="12"/>
      <c r="E2" s="10"/>
      <c r="F2" s="10"/>
      <c r="G2" s="10"/>
      <c r="H2" s="10"/>
      <c r="I2" s="10"/>
      <c r="J2" s="10"/>
      <c r="K2"/>
    </row>
    <row r="3" spans="1:14" ht="15" x14ac:dyDescent="0.25">
      <c r="A3" s="11" t="s">
        <v>3</v>
      </c>
      <c r="B3" s="12"/>
      <c r="C3" s="12"/>
      <c r="D3" s="12"/>
      <c r="E3" s="10"/>
      <c r="F3" s="10"/>
      <c r="G3" s="10"/>
      <c r="H3" s="10"/>
      <c r="I3" s="10"/>
      <c r="J3" s="10"/>
      <c r="K3"/>
    </row>
    <row r="4" spans="1:14" ht="15" x14ac:dyDescent="0.25">
      <c r="A4" s="13" t="s">
        <v>4</v>
      </c>
      <c r="B4" s="14">
        <v>302296500</v>
      </c>
      <c r="C4" s="14">
        <v>162162000</v>
      </c>
      <c r="D4" s="14">
        <f>SUM(B4:C4)</f>
        <v>464458500</v>
      </c>
      <c r="E4" s="14"/>
      <c r="F4" s="10"/>
      <c r="G4" s="10"/>
      <c r="H4" s="10"/>
      <c r="I4" s="10"/>
      <c r="J4" s="10"/>
      <c r="K4"/>
    </row>
    <row r="5" spans="1:14" ht="15" x14ac:dyDescent="0.25">
      <c r="A5" s="13" t="s">
        <v>5</v>
      </c>
      <c r="B5" s="14">
        <v>3053500</v>
      </c>
      <c r="C5" s="14">
        <v>1638000</v>
      </c>
      <c r="D5" s="14">
        <f>SUM(B5:C5)</f>
        <v>4691500</v>
      </c>
      <c r="E5" s="14"/>
      <c r="F5" s="13"/>
      <c r="G5" s="10"/>
      <c r="H5" s="10"/>
      <c r="I5" s="10"/>
      <c r="J5" s="10"/>
      <c r="K5"/>
    </row>
    <row r="6" spans="1:14" ht="15" x14ac:dyDescent="0.25">
      <c r="A6" s="13" t="s">
        <v>6</v>
      </c>
      <c r="B6" s="14">
        <v>3940000</v>
      </c>
      <c r="C6" s="14">
        <v>9100000</v>
      </c>
      <c r="D6" s="14">
        <f>SUM(B6:C6)</f>
        <v>13040000</v>
      </c>
      <c r="E6" s="14"/>
      <c r="F6" s="13"/>
      <c r="G6" s="10"/>
      <c r="H6" s="10"/>
      <c r="I6" s="10"/>
      <c r="J6" s="10"/>
      <c r="K6"/>
    </row>
    <row r="7" spans="1:14" ht="15" x14ac:dyDescent="0.25">
      <c r="A7" s="13" t="s">
        <v>7</v>
      </c>
      <c r="B7" s="14">
        <v>11327500</v>
      </c>
      <c r="C7" s="14">
        <v>6500000</v>
      </c>
      <c r="D7" s="14">
        <f t="shared" ref="D7:D16" si="0">SUM(B7:C7)</f>
        <v>17827500</v>
      </c>
      <c r="E7" s="14"/>
      <c r="F7" s="10"/>
      <c r="G7" s="10"/>
      <c r="H7" s="13"/>
      <c r="I7" s="10"/>
      <c r="J7" s="10"/>
      <c r="K7"/>
    </row>
    <row r="8" spans="1:14" ht="15" x14ac:dyDescent="0.25">
      <c r="A8" s="13" t="s">
        <v>51</v>
      </c>
      <c r="B8" s="14">
        <v>14775000</v>
      </c>
      <c r="C8" s="14">
        <v>3952000</v>
      </c>
      <c r="D8" s="14">
        <f t="shared" si="0"/>
        <v>18727000</v>
      </c>
      <c r="E8" s="10"/>
      <c r="F8" s="10"/>
      <c r="G8" s="10"/>
      <c r="H8" s="13"/>
      <c r="I8" s="10"/>
      <c r="J8" s="10"/>
      <c r="K8"/>
    </row>
    <row r="9" spans="1:14" ht="15" x14ac:dyDescent="0.25">
      <c r="A9" s="13" t="s">
        <v>8</v>
      </c>
      <c r="B9" s="42">
        <f>(B4+B5)*0.02</f>
        <v>6107000</v>
      </c>
      <c r="C9" s="42">
        <f>(C4+C5)*0.02</f>
        <v>3276000</v>
      </c>
      <c r="D9" s="42">
        <f t="shared" si="0"/>
        <v>9383000</v>
      </c>
      <c r="E9" s="10"/>
      <c r="F9" s="10"/>
      <c r="G9" s="10"/>
      <c r="H9" s="13"/>
      <c r="I9" s="10"/>
      <c r="J9" s="10"/>
      <c r="K9"/>
      <c r="L9" s="5"/>
      <c r="M9" s="5"/>
      <c r="N9" s="5"/>
    </row>
    <row r="10" spans="1:14" s="4" customFormat="1" ht="15" x14ac:dyDescent="0.25">
      <c r="A10" s="11" t="s">
        <v>9</v>
      </c>
      <c r="B10" s="15">
        <f>SUM(B4:B6)-SUM(B7:B8,B9)</f>
        <v>277080500</v>
      </c>
      <c r="C10" s="15">
        <f>SUM(C4:C6)-SUM(C7:C8,C9)</f>
        <v>159172000</v>
      </c>
      <c r="D10" s="15">
        <f>SUM(D4:D6)-SUM(D7:D8,D9)</f>
        <v>436252500</v>
      </c>
      <c r="E10" s="10"/>
      <c r="F10" s="10"/>
      <c r="G10" s="10"/>
      <c r="H10" s="11"/>
      <c r="I10" s="10"/>
      <c r="J10" s="10"/>
      <c r="K10"/>
      <c r="L10" s="6"/>
      <c r="M10" s="6"/>
      <c r="N10" s="6"/>
    </row>
    <row r="11" spans="1:14" ht="15" x14ac:dyDescent="0.25">
      <c r="A11" s="11"/>
      <c r="B11" s="10"/>
      <c r="C11" s="10"/>
      <c r="D11" s="10"/>
      <c r="E11" s="10"/>
      <c r="F11" s="10"/>
      <c r="G11" s="10"/>
      <c r="H11" s="10"/>
      <c r="I11" s="10"/>
      <c r="J11" s="10"/>
      <c r="K11"/>
      <c r="M11" s="5"/>
    </row>
    <row r="12" spans="1:14" ht="15" x14ac:dyDescent="0.25">
      <c r="A12" s="11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/>
    </row>
    <row r="13" spans="1:14" ht="15" x14ac:dyDescent="0.25">
      <c r="A13" s="13" t="s">
        <v>11</v>
      </c>
      <c r="B13" s="14">
        <f>251175000</f>
        <v>251175000</v>
      </c>
      <c r="C13" s="14">
        <f>140400000</f>
        <v>140400000</v>
      </c>
      <c r="D13" s="14">
        <f t="shared" si="0"/>
        <v>391575000</v>
      </c>
      <c r="E13" s="10"/>
      <c r="F13" s="10"/>
      <c r="G13" s="10"/>
      <c r="H13" s="10"/>
      <c r="I13" s="10"/>
      <c r="J13" s="10"/>
      <c r="K13"/>
    </row>
    <row r="14" spans="1:14" ht="15" x14ac:dyDescent="0.25">
      <c r="A14" s="13" t="s">
        <v>12</v>
      </c>
      <c r="B14" s="14">
        <v>0</v>
      </c>
      <c r="C14" s="14"/>
      <c r="D14" s="14">
        <f t="shared" si="0"/>
        <v>0</v>
      </c>
      <c r="E14" s="10"/>
      <c r="F14" s="35"/>
      <c r="G14" s="10"/>
      <c r="H14" s="10"/>
      <c r="I14" s="10"/>
      <c r="J14" s="10"/>
      <c r="K14"/>
    </row>
    <row r="15" spans="1:14" ht="15" x14ac:dyDescent="0.25">
      <c r="A15" s="13" t="s">
        <v>13</v>
      </c>
      <c r="B15" s="14">
        <v>5000000</v>
      </c>
      <c r="C15" s="14">
        <v>6500000</v>
      </c>
      <c r="D15" s="14">
        <f t="shared" si="0"/>
        <v>11500000</v>
      </c>
      <c r="E15" s="10"/>
      <c r="F15" s="10"/>
      <c r="G15" s="10"/>
      <c r="H15" s="10"/>
      <c r="I15" s="10"/>
      <c r="J15" s="10"/>
      <c r="K15"/>
      <c r="M15" s="5"/>
    </row>
    <row r="16" spans="1:14" ht="15" x14ac:dyDescent="0.25">
      <c r="A16" s="13" t="s">
        <v>14</v>
      </c>
      <c r="B16" s="42">
        <v>1500</v>
      </c>
      <c r="C16" s="42">
        <v>2500</v>
      </c>
      <c r="D16" s="42">
        <f t="shared" si="0"/>
        <v>4000</v>
      </c>
      <c r="E16" s="10"/>
      <c r="F16" s="10"/>
      <c r="G16" s="10"/>
      <c r="H16" s="10"/>
      <c r="I16" s="10"/>
      <c r="J16" s="10"/>
      <c r="K16"/>
      <c r="M16" s="5"/>
    </row>
    <row r="17" spans="1:13" ht="15" x14ac:dyDescent="0.25">
      <c r="A17" s="11" t="s">
        <v>61</v>
      </c>
      <c r="B17" s="15">
        <f>SUM(B13:B15)-B16</f>
        <v>256173500</v>
      </c>
      <c r="C17" s="15">
        <f>SUM(C13:C15)-C16</f>
        <v>146897500</v>
      </c>
      <c r="D17" s="15">
        <f>SUM(D13:D15)-D16</f>
        <v>403071000</v>
      </c>
      <c r="E17" s="10"/>
      <c r="F17" s="10"/>
      <c r="G17" s="10"/>
      <c r="H17" s="10"/>
      <c r="I17" s="10"/>
      <c r="J17" s="10"/>
      <c r="K17"/>
    </row>
    <row r="18" spans="1:13" ht="15" x14ac:dyDescent="0.25">
      <c r="A18" s="11"/>
      <c r="B18" s="14"/>
      <c r="C18" s="14"/>
      <c r="D18" s="14"/>
      <c r="E18" s="10"/>
      <c r="F18" s="10"/>
      <c r="G18" s="10"/>
      <c r="H18" s="10"/>
      <c r="I18" s="10"/>
      <c r="J18" s="10"/>
      <c r="K18"/>
    </row>
    <row r="19" spans="1:13" ht="15" x14ac:dyDescent="0.25">
      <c r="A19" s="11" t="s">
        <v>16</v>
      </c>
      <c r="B19" s="15">
        <f>B17*0.01</f>
        <v>2561735</v>
      </c>
      <c r="C19" s="15">
        <f>C17*0.01</f>
        <v>1468975</v>
      </c>
      <c r="D19" s="15">
        <f>SUM(B19:C19)</f>
        <v>4030710</v>
      </c>
      <c r="E19" s="10"/>
      <c r="F19" s="10"/>
      <c r="G19" s="10"/>
      <c r="H19" s="10"/>
      <c r="I19" s="10"/>
      <c r="J19" s="10"/>
      <c r="K19"/>
    </row>
    <row r="20" spans="1:13" ht="15" x14ac:dyDescent="0.25">
      <c r="A20" s="11"/>
      <c r="B20" s="15"/>
      <c r="C20" s="15"/>
      <c r="D20" s="15"/>
      <c r="E20" s="10"/>
      <c r="F20" s="10"/>
      <c r="G20" s="10"/>
      <c r="H20" s="10"/>
      <c r="I20" s="10"/>
      <c r="J20" s="10"/>
      <c r="K20"/>
    </row>
    <row r="21" spans="1:13" ht="39" customHeight="1" x14ac:dyDescent="0.25">
      <c r="A21" s="72" t="s">
        <v>62</v>
      </c>
      <c r="B21" s="73">
        <f>B10-B17-B19</f>
        <v>18345265</v>
      </c>
      <c r="C21" s="73">
        <f>C10-C17-C19</f>
        <v>10805525</v>
      </c>
      <c r="D21" s="73">
        <f>D10-D17-D19</f>
        <v>29150790</v>
      </c>
      <c r="E21" s="10"/>
      <c r="F21" s="10"/>
      <c r="G21" s="10"/>
      <c r="H21" s="10"/>
      <c r="I21" s="10"/>
      <c r="J21" s="10"/>
      <c r="K21"/>
    </row>
    <row r="22" spans="1:13" ht="15" x14ac:dyDescent="0.25">
      <c r="A22" s="11" t="s">
        <v>18</v>
      </c>
      <c r="B22" s="71">
        <f>B21/B10</f>
        <v>6.6209152213887304E-2</v>
      </c>
      <c r="C22" s="71">
        <f>C21/C10</f>
        <v>6.7885840474455311E-2</v>
      </c>
      <c r="D22" s="71">
        <f>D21/D10</f>
        <v>6.6820912201076207E-2</v>
      </c>
      <c r="E22" s="10"/>
      <c r="F22" s="10"/>
      <c r="G22" s="10"/>
      <c r="H22" s="10"/>
      <c r="I22" s="10"/>
      <c r="J22" s="10"/>
      <c r="K22"/>
    </row>
    <row r="23" spans="1:13" ht="15" x14ac:dyDescent="0.25">
      <c r="A23" s="10" t="s">
        <v>19</v>
      </c>
      <c r="B23" s="16">
        <v>98500</v>
      </c>
      <c r="C23" s="16">
        <v>26000</v>
      </c>
      <c r="D23" s="16">
        <f>SUM(B23:C23)</f>
        <v>124500</v>
      </c>
      <c r="E23" s="10"/>
      <c r="F23" s="10"/>
      <c r="G23" s="10"/>
      <c r="H23" s="10"/>
      <c r="I23" s="10"/>
      <c r="J23" s="10"/>
      <c r="K23"/>
    </row>
    <row r="24" spans="1:13" ht="15" x14ac:dyDescent="0.25">
      <c r="A24" s="10"/>
      <c r="B24" s="16"/>
      <c r="C24" s="16"/>
      <c r="D24" s="16"/>
      <c r="E24" s="16"/>
      <c r="F24" s="16"/>
      <c r="G24" s="16"/>
      <c r="H24" s="16"/>
      <c r="I24" s="16"/>
      <c r="J24" s="16"/>
      <c r="K24"/>
    </row>
    <row r="25" spans="1:13" ht="22.5" customHeight="1" x14ac:dyDescent="0.25">
      <c r="A25" s="87" t="s">
        <v>52</v>
      </c>
      <c r="B25" s="87"/>
      <c r="C25" s="87"/>
      <c r="D25" s="87"/>
      <c r="E25" s="87"/>
      <c r="F25" s="87"/>
      <c r="G25" s="87"/>
      <c r="H25" s="10"/>
      <c r="I25" s="10"/>
      <c r="J25" s="10"/>
      <c r="K25" s="3"/>
    </row>
    <row r="26" spans="1:13" ht="15" x14ac:dyDescent="0.25">
      <c r="A26" s="11"/>
      <c r="B26" s="17"/>
      <c r="C26" s="17"/>
      <c r="D26" s="18"/>
      <c r="E26" s="10"/>
      <c r="F26" s="19"/>
      <c r="G26" s="19"/>
      <c r="H26" s="10"/>
      <c r="I26" s="10"/>
      <c r="J26" s="10"/>
      <c r="K26" s="2"/>
    </row>
    <row r="27" spans="1:13" ht="15" x14ac:dyDescent="0.25">
      <c r="A27" s="60" t="s">
        <v>9</v>
      </c>
      <c r="B27" s="14">
        <f>D10</f>
        <v>436252500</v>
      </c>
      <c r="C27" s="61"/>
      <c r="D27" s="14"/>
      <c r="E27" s="10"/>
      <c r="F27" s="10"/>
      <c r="G27" s="10"/>
      <c r="H27" s="35"/>
      <c r="I27" s="10"/>
      <c r="J27" s="10"/>
      <c r="K27" s="7"/>
      <c r="L27"/>
      <c r="M27"/>
    </row>
    <row r="28" spans="1:13" ht="15" x14ac:dyDescent="0.25">
      <c r="A28" s="10" t="s">
        <v>21</v>
      </c>
      <c r="B28" s="14">
        <f>D21</f>
        <v>29150790</v>
      </c>
      <c r="C28" s="14"/>
      <c r="D28" s="14"/>
      <c r="E28" s="10"/>
      <c r="F28" s="10"/>
      <c r="G28" s="10"/>
      <c r="H28" s="35"/>
      <c r="I28" s="10"/>
      <c r="J28" s="10"/>
      <c r="K28" s="7"/>
      <c r="L28"/>
      <c r="M28"/>
    </row>
    <row r="29" spans="1:13" ht="15" x14ac:dyDescent="0.25">
      <c r="A29" s="10" t="s">
        <v>18</v>
      </c>
      <c r="B29" s="62">
        <f>B28/B27</f>
        <v>6.6820912201076207E-2</v>
      </c>
      <c r="C29" s="14"/>
      <c r="D29" s="14"/>
      <c r="E29" s="14"/>
      <c r="F29" s="10"/>
      <c r="G29" s="10"/>
      <c r="H29" s="35"/>
      <c r="I29" s="10"/>
      <c r="J29" s="10"/>
      <c r="K29" s="7"/>
      <c r="L29"/>
      <c r="M29"/>
    </row>
    <row r="30" spans="1:13" ht="15" x14ac:dyDescent="0.25">
      <c r="A30" s="10"/>
      <c r="B30" s="14"/>
      <c r="C30" s="14"/>
      <c r="D30" s="14"/>
      <c r="E30" s="14"/>
      <c r="F30" s="10"/>
      <c r="G30" s="10"/>
      <c r="H30" s="35"/>
      <c r="I30" s="10"/>
      <c r="J30" s="10"/>
      <c r="K30" s="7"/>
      <c r="L30"/>
      <c r="M30"/>
    </row>
    <row r="31" spans="1:13" ht="15" x14ac:dyDescent="0.25">
      <c r="A31" s="10"/>
      <c r="B31" s="20"/>
      <c r="C31" s="14"/>
      <c r="D31" s="14"/>
      <c r="E31" s="14"/>
      <c r="F31" s="14"/>
      <c r="G31" s="10"/>
      <c r="H31" s="35"/>
      <c r="I31" s="10"/>
      <c r="J31" s="10"/>
      <c r="K31" s="7"/>
      <c r="L31"/>
      <c r="M31"/>
    </row>
    <row r="32" spans="1:13" ht="15" x14ac:dyDescent="0.25">
      <c r="A32" s="10"/>
      <c r="B32" s="10"/>
      <c r="C32" s="10"/>
      <c r="D32" s="14"/>
      <c r="E32" s="14"/>
      <c r="F32" s="10"/>
      <c r="G32" s="10"/>
      <c r="H32" s="35"/>
      <c r="I32" s="10"/>
      <c r="J32" s="10"/>
      <c r="K32" s="7"/>
      <c r="L32"/>
      <c r="M32"/>
    </row>
    <row r="33" spans="1:13" ht="15" x14ac:dyDescent="0.25">
      <c r="A33" s="11" t="s">
        <v>22</v>
      </c>
      <c r="B33" s="14">
        <f>IF(B28&gt;0,-SUM(E42:E45),-SUM(E49:E53))</f>
        <v>-10956780</v>
      </c>
      <c r="C33" s="14"/>
      <c r="D33" s="14"/>
      <c r="E33" s="14"/>
      <c r="F33" s="14"/>
      <c r="G33" s="10"/>
      <c r="H33" s="35"/>
      <c r="I33" s="14"/>
      <c r="J33" s="10"/>
      <c r="K33" s="7"/>
      <c r="L33"/>
      <c r="M33"/>
    </row>
    <row r="34" spans="1:13" ht="15" x14ac:dyDescent="0.25">
      <c r="A34" s="52"/>
      <c r="B34" s="14"/>
      <c r="C34" s="10"/>
      <c r="D34" s="14"/>
      <c r="E34" s="14"/>
      <c r="F34" s="10"/>
      <c r="G34" s="10"/>
      <c r="H34" s="35"/>
      <c r="I34" s="14"/>
      <c r="J34" s="10"/>
      <c r="K34" s="7"/>
      <c r="L34"/>
      <c r="M34"/>
    </row>
    <row r="35" spans="1:13" ht="15" x14ac:dyDescent="0.25">
      <c r="A35" s="52" t="s">
        <v>23</v>
      </c>
      <c r="B35" s="14"/>
      <c r="C35" s="10"/>
      <c r="D35" s="14"/>
      <c r="E35" s="14"/>
      <c r="F35" s="10"/>
      <c r="G35" s="10"/>
      <c r="H35" s="35"/>
      <c r="I35" s="14"/>
      <c r="J35" s="10"/>
      <c r="K35" s="7"/>
      <c r="L35"/>
      <c r="M35"/>
    </row>
    <row r="36" spans="1:13" ht="15" x14ac:dyDescent="0.25">
      <c r="A36" s="52"/>
      <c r="B36" s="14"/>
      <c r="C36" s="10"/>
      <c r="D36" s="14"/>
      <c r="E36" s="14"/>
      <c r="F36" s="10"/>
      <c r="G36" s="10"/>
      <c r="H36" s="35"/>
      <c r="I36" s="14"/>
      <c r="J36" s="10"/>
      <c r="K36" s="7"/>
      <c r="L36"/>
      <c r="M36"/>
    </row>
    <row r="37" spans="1:13" ht="15" x14ac:dyDescent="0.25">
      <c r="A37" s="11" t="s">
        <v>24</v>
      </c>
      <c r="B37" s="14">
        <f>SUM(B33,B35)/0.98-SUM(B33,B35)</f>
        <v>-223607.75510204025</v>
      </c>
      <c r="C37" s="53"/>
      <c r="D37" s="14"/>
      <c r="E37" s="10"/>
      <c r="F37" s="10"/>
      <c r="G37" s="10"/>
      <c r="H37" s="35"/>
      <c r="I37" s="10"/>
      <c r="J37" s="10"/>
      <c r="K37" s="7"/>
      <c r="L37"/>
      <c r="M37"/>
    </row>
    <row r="38" spans="1:13" ht="15.75" thickBot="1" x14ac:dyDescent="0.3">
      <c r="A38" s="11" t="s">
        <v>25</v>
      </c>
      <c r="B38" s="54">
        <f>SUM(B33+B35+B37)</f>
        <v>-11180387.75510204</v>
      </c>
      <c r="C38" s="10"/>
      <c r="D38" s="10"/>
      <c r="E38" s="10"/>
      <c r="F38" s="10"/>
      <c r="G38" s="10"/>
      <c r="H38" s="35"/>
      <c r="I38" s="10"/>
      <c r="J38" s="10"/>
      <c r="K38" s="7"/>
      <c r="L38"/>
      <c r="M38"/>
    </row>
    <row r="39" spans="1:13" ht="15.75" thickTop="1" x14ac:dyDescent="0.25">
      <c r="A39" s="10"/>
      <c r="B39" s="10"/>
      <c r="C39" s="10"/>
      <c r="D39" s="10"/>
      <c r="E39" s="10"/>
      <c r="F39" s="10"/>
      <c r="G39" s="10"/>
      <c r="H39" s="35"/>
      <c r="I39" s="10"/>
      <c r="J39" s="10"/>
      <c r="K39" s="7"/>
      <c r="L39"/>
      <c r="M39"/>
    </row>
    <row r="40" spans="1:13" ht="15" x14ac:dyDescent="0.25">
      <c r="A40" s="10"/>
      <c r="B40" s="14"/>
      <c r="C40" s="21"/>
      <c r="D40" s="21" t="s">
        <v>26</v>
      </c>
      <c r="E40" s="21"/>
      <c r="F40" s="21"/>
      <c r="G40" s="21"/>
      <c r="H40" s="35"/>
      <c r="I40" s="10"/>
      <c r="J40" s="10"/>
      <c r="K40" s="2"/>
    </row>
    <row r="41" spans="1:13" ht="15" x14ac:dyDescent="0.25">
      <c r="A41" s="11" t="s">
        <v>27</v>
      </c>
      <c r="B41" s="10" t="s">
        <v>28</v>
      </c>
      <c r="C41" s="21" t="s">
        <v>29</v>
      </c>
      <c r="D41" s="21" t="s">
        <v>30</v>
      </c>
      <c r="E41" s="21" t="s">
        <v>31</v>
      </c>
      <c r="F41" s="21"/>
      <c r="G41" s="21" t="s">
        <v>32</v>
      </c>
      <c r="H41" s="35"/>
      <c r="I41" s="10"/>
      <c r="J41" s="21"/>
      <c r="K41" s="2"/>
    </row>
    <row r="42" spans="1:13" ht="15" x14ac:dyDescent="0.25">
      <c r="A42" s="10"/>
      <c r="B42" s="22" t="s">
        <v>53</v>
      </c>
      <c r="C42" s="63">
        <v>0</v>
      </c>
      <c r="D42" s="23">
        <f>IF(G42&lt;=0,0,IF($B$27*0.02&gt;G42,G42,$B$27*0.02))</f>
        <v>8725050</v>
      </c>
      <c r="E42" s="23">
        <f>+C42*D42</f>
        <v>0</v>
      </c>
      <c r="F42" s="10"/>
      <c r="G42" s="24">
        <f>+IF(B28&lt;0,0,B28)</f>
        <v>29150790</v>
      </c>
      <c r="H42" s="36"/>
      <c r="I42" s="10"/>
      <c r="J42" s="23"/>
      <c r="K42" s="2"/>
    </row>
    <row r="43" spans="1:13" ht="15" x14ac:dyDescent="0.25">
      <c r="A43" s="10"/>
      <c r="B43" s="22" t="s">
        <v>54</v>
      </c>
      <c r="C43" s="63">
        <v>0.25</v>
      </c>
      <c r="D43" s="23">
        <f>IF(G43&lt;=0,0,IF($B$27*0.02&gt;G43,G43,$B$27*0.02))</f>
        <v>8725050</v>
      </c>
      <c r="E43" s="23">
        <f>+C43*D43</f>
        <v>2181262.5</v>
      </c>
      <c r="F43" s="10"/>
      <c r="G43" s="24">
        <f>+G42-D42</f>
        <v>20425740</v>
      </c>
      <c r="H43" s="36"/>
      <c r="I43" s="10"/>
      <c r="J43" s="23"/>
      <c r="K43" s="2"/>
    </row>
    <row r="44" spans="1:13" ht="15" x14ac:dyDescent="0.25">
      <c r="A44" s="10"/>
      <c r="B44" s="22" t="s">
        <v>55</v>
      </c>
      <c r="C44" s="63">
        <v>0.75</v>
      </c>
      <c r="D44" s="23">
        <f>IF(G44&lt;=0,0,IF($B$27*0.03&gt;G44,G44,$B$27*0.03))</f>
        <v>11700690</v>
      </c>
      <c r="E44" s="23">
        <f>+C44*D44</f>
        <v>8775517.5</v>
      </c>
      <c r="F44" s="10"/>
      <c r="G44" s="24">
        <f>+G43-D43</f>
        <v>11700690</v>
      </c>
      <c r="H44" s="36"/>
      <c r="I44" s="10"/>
      <c r="J44" s="23"/>
      <c r="K44" s="2"/>
    </row>
    <row r="45" spans="1:13" ht="15" x14ac:dyDescent="0.25">
      <c r="A45" s="10"/>
      <c r="B45" s="22" t="s">
        <v>56</v>
      </c>
      <c r="C45" s="63">
        <v>1</v>
      </c>
      <c r="D45" s="23">
        <f>IF(G45&lt;=0,0,IF($B$27*0.93&gt;G45,G45,$B$27*0.93))</f>
        <v>0</v>
      </c>
      <c r="E45" s="23">
        <f>+C45*D45</f>
        <v>0</v>
      </c>
      <c r="F45" s="10"/>
      <c r="G45" s="24">
        <f>+G44-D44</f>
        <v>0</v>
      </c>
      <c r="H45" s="37"/>
      <c r="I45" s="10"/>
      <c r="J45" s="23"/>
      <c r="K45" s="2"/>
    </row>
    <row r="46" spans="1:13" ht="15" x14ac:dyDescent="0.25">
      <c r="A46" s="10"/>
      <c r="B46" s="10"/>
      <c r="C46" s="10"/>
      <c r="D46" s="10"/>
      <c r="E46" s="10"/>
      <c r="F46" s="10"/>
      <c r="G46" s="10"/>
      <c r="H46" s="35"/>
      <c r="I46" s="10"/>
      <c r="J46" s="10"/>
      <c r="K46" s="2"/>
    </row>
    <row r="47" spans="1:13" ht="15" x14ac:dyDescent="0.25">
      <c r="A47" s="10"/>
      <c r="B47" s="14"/>
      <c r="C47" s="21"/>
      <c r="D47" s="21" t="s">
        <v>37</v>
      </c>
      <c r="E47" s="21"/>
      <c r="F47" s="21"/>
      <c r="G47" s="21"/>
      <c r="H47" s="35"/>
      <c r="I47" s="10"/>
      <c r="J47" s="25"/>
      <c r="K47" s="2"/>
    </row>
    <row r="48" spans="1:13" ht="15" x14ac:dyDescent="0.25">
      <c r="A48" s="11" t="s">
        <v>27</v>
      </c>
      <c r="B48" s="10" t="s">
        <v>38</v>
      </c>
      <c r="C48" s="21" t="s">
        <v>29</v>
      </c>
      <c r="D48" s="21" t="s">
        <v>30</v>
      </c>
      <c r="E48" s="21" t="s">
        <v>39</v>
      </c>
      <c r="F48" s="21"/>
      <c r="G48" s="21" t="s">
        <v>32</v>
      </c>
      <c r="H48" s="35"/>
      <c r="I48" s="10"/>
      <c r="J48" s="25"/>
      <c r="K48" s="2"/>
    </row>
    <row r="49" spans="1:11" ht="15" x14ac:dyDescent="0.25">
      <c r="A49" s="10"/>
      <c r="B49" s="22" t="s">
        <v>57</v>
      </c>
      <c r="C49" s="63">
        <v>0</v>
      </c>
      <c r="D49" s="23">
        <f>IF(G49&gt;=0,0,IF(-$B$27*0.01&lt;G49,G49,-$B$27*0.01))</f>
        <v>0</v>
      </c>
      <c r="E49" s="23">
        <f>+D49*C49</f>
        <v>0</v>
      </c>
      <c r="F49" s="10"/>
      <c r="G49" s="24">
        <f>+IF(B28&gt;0,0,B28)</f>
        <v>0</v>
      </c>
      <c r="H49" s="36"/>
      <c r="I49" s="10"/>
      <c r="J49" s="23"/>
      <c r="K49" s="2"/>
    </row>
    <row r="50" spans="1:11" ht="15" x14ac:dyDescent="0.25">
      <c r="A50" s="10"/>
      <c r="B50" s="55" t="s">
        <v>58</v>
      </c>
      <c r="C50" s="63">
        <v>0.25</v>
      </c>
      <c r="D50" s="23">
        <f>IF(G50&gt;0,0,IF(-$B$27*0.01&lt;G50,G50,-$B$27*0.01))</f>
        <v>0</v>
      </c>
      <c r="E50" s="23">
        <f t="shared" ref="E50:E53" si="1">+D50*C50</f>
        <v>0</v>
      </c>
      <c r="F50" s="10"/>
      <c r="G50" s="24">
        <f>G49-D49</f>
        <v>0</v>
      </c>
      <c r="H50" s="36"/>
      <c r="I50" s="10"/>
      <c r="J50" s="23"/>
      <c r="K50" s="2"/>
    </row>
    <row r="51" spans="1:11" ht="15" x14ac:dyDescent="0.25">
      <c r="A51" s="10"/>
      <c r="B51" s="56" t="s">
        <v>42</v>
      </c>
      <c r="C51" s="63">
        <v>0.5</v>
      </c>
      <c r="D51" s="23">
        <f>IF(G51&gt;0,0,IF(-$B$27*0.01&lt;G51,G51,-$B$27*0.01))</f>
        <v>0</v>
      </c>
      <c r="E51" s="23">
        <f t="shared" si="1"/>
        <v>0</v>
      </c>
      <c r="F51" s="10"/>
      <c r="G51" s="24">
        <f>G50-D50</f>
        <v>0</v>
      </c>
      <c r="H51" s="36"/>
      <c r="I51" s="10"/>
      <c r="J51" s="23"/>
      <c r="K51" s="2"/>
    </row>
    <row r="52" spans="1:11" ht="15" x14ac:dyDescent="0.25">
      <c r="A52" s="10"/>
      <c r="B52" s="56" t="s">
        <v>43</v>
      </c>
      <c r="C52" s="63">
        <v>0.75</v>
      </c>
      <c r="D52" s="23">
        <f>IF(G52&gt;0,0,IF(-$B$27*0.01&lt;G52,G52,-$B$27*0.01))</f>
        <v>0</v>
      </c>
      <c r="E52" s="23">
        <f t="shared" si="1"/>
        <v>0</v>
      </c>
      <c r="F52" s="10"/>
      <c r="G52" s="24">
        <f>G51-D51</f>
        <v>0</v>
      </c>
      <c r="H52" s="36"/>
      <c r="I52" s="10"/>
      <c r="J52" s="23"/>
      <c r="K52" s="2"/>
    </row>
    <row r="53" spans="1:11" ht="15" x14ac:dyDescent="0.25">
      <c r="A53" s="10"/>
      <c r="B53" s="22" t="s">
        <v>44</v>
      </c>
      <c r="C53" s="63">
        <v>1</v>
      </c>
      <c r="D53" s="23">
        <f>IF(G53&gt;0,0,IF(-$B$27*0.96&lt;G53,G53,-$B$27*0.96))</f>
        <v>0</v>
      </c>
      <c r="E53" s="23">
        <f t="shared" si="1"/>
        <v>0</v>
      </c>
      <c r="F53" s="10"/>
      <c r="G53" s="24">
        <f>G52-D52</f>
        <v>0</v>
      </c>
      <c r="H53" s="36"/>
      <c r="I53" s="10"/>
      <c r="J53" s="23"/>
      <c r="K53" s="2"/>
    </row>
    <row r="54" spans="1:11" ht="15" x14ac:dyDescent="0.25">
      <c r="A54" s="10"/>
      <c r="B54" s="22"/>
      <c r="C54" s="63"/>
      <c r="D54" s="23"/>
      <c r="E54" s="23"/>
      <c r="F54" s="10"/>
      <c r="G54" s="24"/>
      <c r="H54" s="36"/>
      <c r="I54" s="10"/>
      <c r="J54" s="23"/>
      <c r="K54" s="2"/>
    </row>
    <row r="55" spans="1:11" ht="15.75" thickBo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2"/>
    </row>
    <row r="56" spans="1:11" customFormat="1" ht="15" x14ac:dyDescent="0.25">
      <c r="A56" s="64" t="s">
        <v>45</v>
      </c>
      <c r="B56" s="44"/>
      <c r="C56" s="44"/>
      <c r="D56" s="44"/>
      <c r="E56" s="45"/>
      <c r="F56" s="10"/>
      <c r="G56" s="10"/>
      <c r="H56" s="10"/>
      <c r="I56" s="10"/>
      <c r="J56" s="10"/>
      <c r="K56" s="7"/>
    </row>
    <row r="57" spans="1:11" customFormat="1" ht="15" x14ac:dyDescent="0.25">
      <c r="A57" s="46" t="s">
        <v>46</v>
      </c>
      <c r="B57" s="10"/>
      <c r="C57" s="10"/>
      <c r="D57" s="10"/>
      <c r="E57" s="47"/>
      <c r="F57" s="10"/>
      <c r="G57" s="10"/>
      <c r="H57" s="10"/>
      <c r="I57" s="10"/>
      <c r="J57" s="10"/>
      <c r="K57" s="7"/>
    </row>
    <row r="58" spans="1:11" customFormat="1" ht="15" x14ac:dyDescent="0.25">
      <c r="A58" s="46" t="s">
        <v>47</v>
      </c>
      <c r="B58" s="10"/>
      <c r="C58" s="10"/>
      <c r="D58" s="10"/>
      <c r="E58" s="47"/>
      <c r="F58" s="10"/>
      <c r="G58" s="10"/>
      <c r="H58" s="10"/>
      <c r="I58" s="10"/>
      <c r="J58" s="10"/>
      <c r="K58" s="7"/>
    </row>
    <row r="59" spans="1:11" customFormat="1" ht="15" x14ac:dyDescent="0.25">
      <c r="A59" s="46" t="s">
        <v>48</v>
      </c>
      <c r="B59" s="10"/>
      <c r="C59" s="10"/>
      <c r="D59" s="10"/>
      <c r="E59" s="47"/>
      <c r="F59" s="10"/>
      <c r="G59" s="10"/>
      <c r="H59" s="10"/>
      <c r="I59" s="10"/>
      <c r="J59" s="10"/>
      <c r="K59" s="7"/>
    </row>
    <row r="60" spans="1:11" ht="15" x14ac:dyDescent="0.25">
      <c r="A60" s="46" t="s">
        <v>59</v>
      </c>
      <c r="B60" s="10"/>
      <c r="C60" s="10"/>
      <c r="D60" s="10"/>
      <c r="E60" s="47"/>
      <c r="F60" s="10"/>
      <c r="G60" s="10"/>
      <c r="H60" s="10"/>
      <c r="I60" s="10"/>
      <c r="J60" s="10"/>
      <c r="K60" s="2"/>
    </row>
    <row r="61" spans="1:11" ht="15.75" thickBot="1" x14ac:dyDescent="0.3">
      <c r="A61" s="48" t="s">
        <v>50</v>
      </c>
      <c r="B61" s="34"/>
      <c r="C61" s="34"/>
      <c r="D61" s="34"/>
      <c r="E61" s="49"/>
      <c r="F61" s="10"/>
      <c r="G61" s="10"/>
      <c r="H61" s="10"/>
      <c r="I61" s="10"/>
      <c r="J61" s="10"/>
      <c r="K61" s="2"/>
    </row>
    <row r="62" spans="1:11" ht="15.75" x14ac:dyDescent="0.25">
      <c r="A62" s="9"/>
      <c r="B62" s="8"/>
      <c r="C62" s="8"/>
      <c r="D62" s="8"/>
      <c r="E62" s="8"/>
      <c r="F62" s="8"/>
      <c r="G62" s="8"/>
      <c r="H62" s="8"/>
      <c r="I62" s="8"/>
      <c r="J62" s="2"/>
      <c r="K62" s="2"/>
    </row>
  </sheetData>
  <mergeCells count="1">
    <mergeCell ref="A25:G25"/>
  </mergeCells>
  <pageMargins left="0.75" right="0.75" top="1.16458333333333" bottom="0.73906249999999996" header="0.5" footer="0.5"/>
  <pageSetup scale="50" orientation="landscape" r:id="rId1"/>
  <headerFooter alignWithMargins="0">
    <oddHeader>&amp;L&amp;G&amp;C&amp;"Calibri,Bold"&amp;K369992AHCCCS CONTRACTOR OPERATIONS MANUAL - 
POLICY 301 CYE 27 FWD - ATTACHMENT A -
ALTCS E/PD PROGRAM TIERED RECONCILIATION - EXAMPLE
FOR THE CONTRACT YEAR ENDED 09/30/xx
AS OF: xx/xx/xx
&amp;KFF0000IMPLEMENTATION DATE 10/01/26</oddHeader>
    <oddFooter>&amp;L&amp;"-,Regular"&amp;K369992Effective Date: 10/01/26
Approval Date:  08/07/26&amp;C&amp;"-,Bold"&amp;11&amp;K369992 301 CYE 27 FWD - Attachment A - Page 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7244-7C23-4DE5-9A8B-1BC393759DDA}">
  <sheetPr>
    <pageSetUpPr fitToPage="1"/>
  </sheetPr>
  <dimension ref="A1:N60"/>
  <sheetViews>
    <sheetView tabSelected="1" view="pageLayout" zoomScale="120" zoomScaleNormal="120" zoomScalePageLayoutView="120" workbookViewId="0">
      <selection activeCell="A26" sqref="A26:G26"/>
    </sheetView>
  </sheetViews>
  <sheetFormatPr defaultColWidth="9.140625" defaultRowHeight="11.25" x14ac:dyDescent="0.2"/>
  <cols>
    <col min="1" max="1" width="84.85546875" style="1" customWidth="1"/>
    <col min="2" max="2" width="22" style="1" bestFit="1" customWidth="1"/>
    <col min="3" max="3" width="21.85546875" style="1" customWidth="1"/>
    <col min="4" max="4" width="22.5703125" style="1" bestFit="1" customWidth="1"/>
    <col min="5" max="5" width="20.5703125" style="1" bestFit="1" customWidth="1"/>
    <col min="6" max="6" width="13" style="1" customWidth="1"/>
    <col min="7" max="7" width="15.42578125" style="1" bestFit="1" customWidth="1"/>
    <col min="8" max="8" width="13.7109375" style="1" customWidth="1"/>
    <col min="9" max="9" width="15.7109375" style="1" bestFit="1" customWidth="1"/>
    <col min="10" max="10" width="14.28515625" style="1" bestFit="1" customWidth="1"/>
    <col min="11" max="11" width="13.85546875" style="1" bestFit="1" customWidth="1"/>
    <col min="12" max="12" width="11.5703125" style="1" bestFit="1" customWidth="1"/>
    <col min="13" max="13" width="12.85546875" style="1" bestFit="1" customWidth="1"/>
    <col min="14" max="14" width="10.7109375" style="1" bestFit="1" customWidth="1"/>
    <col min="15" max="16384" width="9.140625" style="1"/>
  </cols>
  <sheetData>
    <row r="1" spans="1:14" ht="24" customHeight="1" x14ac:dyDescent="0.25">
      <c r="A1" s="38"/>
      <c r="B1" s="39" t="s">
        <v>0</v>
      </c>
      <c r="C1" s="39" t="s">
        <v>1</v>
      </c>
      <c r="D1" s="39" t="s">
        <v>2</v>
      </c>
      <c r="E1" s="10"/>
      <c r="F1" s="10"/>
      <c r="G1" s="10"/>
      <c r="H1" s="10"/>
      <c r="I1" s="10"/>
      <c r="J1" s="10"/>
      <c r="K1"/>
    </row>
    <row r="2" spans="1:14" ht="15" x14ac:dyDescent="0.25">
      <c r="A2" s="11"/>
      <c r="B2" s="12"/>
      <c r="C2" s="12"/>
      <c r="D2" s="12"/>
      <c r="E2" s="10"/>
      <c r="F2" s="10"/>
      <c r="G2" s="10"/>
      <c r="H2" s="10"/>
      <c r="I2" s="10"/>
      <c r="J2" s="10"/>
      <c r="K2"/>
    </row>
    <row r="3" spans="1:14" ht="15" x14ac:dyDescent="0.25">
      <c r="A3" s="74" t="s">
        <v>3</v>
      </c>
      <c r="B3" s="75"/>
      <c r="C3" s="75"/>
      <c r="D3" s="75"/>
      <c r="E3" s="10"/>
      <c r="F3" s="10"/>
      <c r="G3" s="10"/>
      <c r="H3" s="10"/>
      <c r="I3" s="10"/>
      <c r="J3" s="10"/>
      <c r="K3"/>
    </row>
    <row r="4" spans="1:14" ht="15" x14ac:dyDescent="0.25">
      <c r="A4" s="76" t="s">
        <v>4</v>
      </c>
      <c r="B4" s="77">
        <v>302296500</v>
      </c>
      <c r="C4" s="77">
        <v>162162000</v>
      </c>
      <c r="D4" s="77">
        <f>SUM(B4:C4)</f>
        <v>464458500</v>
      </c>
      <c r="E4" s="14"/>
      <c r="F4" s="10"/>
      <c r="G4" s="10"/>
      <c r="H4" s="10"/>
      <c r="I4" s="10"/>
      <c r="J4" s="10"/>
      <c r="K4"/>
    </row>
    <row r="5" spans="1:14" ht="15" x14ac:dyDescent="0.25">
      <c r="A5" s="76" t="s">
        <v>5</v>
      </c>
      <c r="B5" s="77">
        <v>3053500</v>
      </c>
      <c r="C5" s="77">
        <v>1638000</v>
      </c>
      <c r="D5" s="77">
        <f>SUM(B5:C5)</f>
        <v>4691500</v>
      </c>
      <c r="E5" s="14"/>
      <c r="F5" s="13"/>
      <c r="G5" s="10"/>
      <c r="H5" s="10"/>
      <c r="I5" s="10"/>
      <c r="J5" s="10"/>
      <c r="K5"/>
    </row>
    <row r="6" spans="1:14" ht="15" x14ac:dyDescent="0.25">
      <c r="A6" s="76" t="s">
        <v>6</v>
      </c>
      <c r="B6" s="77">
        <v>3940000</v>
      </c>
      <c r="C6" s="77">
        <v>9100000</v>
      </c>
      <c r="D6" s="77">
        <f>SUM(B6:C6)</f>
        <v>13040000</v>
      </c>
      <c r="E6" s="14"/>
      <c r="F6" s="13"/>
      <c r="G6" s="10"/>
      <c r="H6" s="10"/>
      <c r="I6" s="10"/>
      <c r="J6" s="10"/>
      <c r="K6"/>
    </row>
    <row r="7" spans="1:14" ht="15" x14ac:dyDescent="0.25">
      <c r="A7" s="76" t="s">
        <v>7</v>
      </c>
      <c r="B7" s="77">
        <v>11327500</v>
      </c>
      <c r="C7" s="77">
        <v>6500000</v>
      </c>
      <c r="D7" s="77">
        <f t="shared" ref="D7:D16" si="0">SUM(B7:C7)</f>
        <v>17827500</v>
      </c>
      <c r="E7" s="14"/>
      <c r="F7" s="10"/>
      <c r="G7" s="10"/>
      <c r="H7" s="13"/>
      <c r="I7" s="10"/>
      <c r="J7" s="10"/>
      <c r="K7"/>
    </row>
    <row r="8" spans="1:14" ht="15" x14ac:dyDescent="0.25">
      <c r="A8" s="76" t="s">
        <v>51</v>
      </c>
      <c r="B8" s="77">
        <v>14775000</v>
      </c>
      <c r="C8" s="77">
        <v>3952000</v>
      </c>
      <c r="D8" s="77">
        <f t="shared" si="0"/>
        <v>18727000</v>
      </c>
      <c r="E8" s="10"/>
      <c r="F8" s="10"/>
      <c r="G8" s="10"/>
      <c r="H8" s="13"/>
      <c r="I8" s="10"/>
      <c r="J8" s="10"/>
      <c r="K8"/>
    </row>
    <row r="9" spans="1:14" ht="15" x14ac:dyDescent="0.25">
      <c r="A9" s="76" t="s">
        <v>8</v>
      </c>
      <c r="B9" s="78">
        <f>(B4+B5)*0.02</f>
        <v>6107000</v>
      </c>
      <c r="C9" s="78">
        <f>(C4+C5)*0.02</f>
        <v>3276000</v>
      </c>
      <c r="D9" s="78">
        <f t="shared" si="0"/>
        <v>9383000</v>
      </c>
      <c r="E9" s="10"/>
      <c r="F9" s="10"/>
      <c r="G9" s="10"/>
      <c r="H9" s="13"/>
      <c r="I9" s="10"/>
      <c r="J9" s="10"/>
      <c r="K9"/>
      <c r="L9" s="5"/>
      <c r="M9" s="5"/>
      <c r="N9" s="5"/>
    </row>
    <row r="10" spans="1:14" s="4" customFormat="1" ht="15" x14ac:dyDescent="0.25">
      <c r="A10" s="74" t="s">
        <v>9</v>
      </c>
      <c r="B10" s="79">
        <f>SUM(B4:B6)-SUM(B7:B8,B9)</f>
        <v>277080500</v>
      </c>
      <c r="C10" s="79">
        <f>SUM(C4:C6)-SUM(C7:C8,C9)</f>
        <v>159172000</v>
      </c>
      <c r="D10" s="79">
        <f>SUM(D4:D6)-SUM(D7:D8,D9)</f>
        <v>436252500</v>
      </c>
      <c r="E10" s="10"/>
      <c r="F10" s="10"/>
      <c r="G10" s="10"/>
      <c r="H10" s="11"/>
      <c r="I10" s="10"/>
      <c r="J10" s="10"/>
      <c r="K10"/>
      <c r="L10" s="6"/>
      <c r="M10" s="6"/>
      <c r="N10" s="6"/>
    </row>
    <row r="11" spans="1:14" ht="15" x14ac:dyDescent="0.25">
      <c r="A11" s="74"/>
      <c r="B11" s="80"/>
      <c r="C11" s="80"/>
      <c r="D11" s="80"/>
      <c r="E11" s="10"/>
      <c r="F11" s="10"/>
      <c r="G11" s="10"/>
      <c r="H11" s="10"/>
      <c r="I11" s="10"/>
      <c r="J11" s="10"/>
      <c r="K11"/>
      <c r="M11" s="5"/>
    </row>
    <row r="12" spans="1:14" ht="15" x14ac:dyDescent="0.25">
      <c r="A12" s="74" t="s">
        <v>10</v>
      </c>
      <c r="B12" s="80"/>
      <c r="C12" s="80"/>
      <c r="D12" s="80"/>
      <c r="E12" s="10"/>
      <c r="F12" s="10"/>
      <c r="G12" s="10"/>
      <c r="H12" s="10"/>
      <c r="I12" s="10"/>
      <c r="J12" s="10"/>
      <c r="K12"/>
    </row>
    <row r="13" spans="1:14" ht="15" x14ac:dyDescent="0.25">
      <c r="A13" s="76" t="s">
        <v>11</v>
      </c>
      <c r="B13" s="77">
        <f>251175000+8000000</f>
        <v>259175000</v>
      </c>
      <c r="C13" s="77">
        <f>140400000+35000000</f>
        <v>175400000</v>
      </c>
      <c r="D13" s="77">
        <f t="shared" si="0"/>
        <v>434575000</v>
      </c>
      <c r="E13" s="10"/>
      <c r="F13" s="10"/>
      <c r="G13" s="10"/>
      <c r="H13" s="10"/>
      <c r="I13" s="10"/>
      <c r="J13" s="10"/>
      <c r="K13"/>
    </row>
    <row r="14" spans="1:14" ht="15" x14ac:dyDescent="0.25">
      <c r="A14" s="76" t="s">
        <v>12</v>
      </c>
      <c r="B14" s="77">
        <v>0</v>
      </c>
      <c r="C14" s="77"/>
      <c r="D14" s="77">
        <f t="shared" si="0"/>
        <v>0</v>
      </c>
      <c r="E14" s="10"/>
      <c r="F14" s="10"/>
      <c r="G14" s="10"/>
      <c r="H14" s="10"/>
      <c r="I14" s="10"/>
      <c r="J14" s="10"/>
      <c r="K14"/>
    </row>
    <row r="15" spans="1:14" ht="15" x14ac:dyDescent="0.25">
      <c r="A15" s="76" t="s">
        <v>13</v>
      </c>
      <c r="B15" s="77">
        <v>5000000</v>
      </c>
      <c r="C15" s="77">
        <v>6500000</v>
      </c>
      <c r="D15" s="77">
        <f t="shared" si="0"/>
        <v>11500000</v>
      </c>
      <c r="E15" s="10"/>
      <c r="F15" s="10"/>
      <c r="G15" s="10"/>
      <c r="H15" s="10"/>
      <c r="I15" s="10"/>
      <c r="J15" s="10"/>
      <c r="K15"/>
      <c r="M15" s="5"/>
    </row>
    <row r="16" spans="1:14" ht="15" x14ac:dyDescent="0.25">
      <c r="A16" s="76" t="s">
        <v>14</v>
      </c>
      <c r="B16" s="78">
        <v>1500</v>
      </c>
      <c r="C16" s="78">
        <v>2500</v>
      </c>
      <c r="D16" s="78">
        <f t="shared" si="0"/>
        <v>4000</v>
      </c>
      <c r="E16" s="10"/>
      <c r="F16" s="10"/>
      <c r="G16" s="10"/>
      <c r="H16" s="10"/>
      <c r="I16" s="10"/>
      <c r="J16" s="10"/>
      <c r="K16"/>
      <c r="M16" s="5"/>
    </row>
    <row r="17" spans="1:13" ht="15" x14ac:dyDescent="0.25">
      <c r="A17" s="74" t="s">
        <v>15</v>
      </c>
      <c r="B17" s="79">
        <f>SUM(B13:B15)-B16</f>
        <v>264173500</v>
      </c>
      <c r="C17" s="79">
        <f>SUM(C13:C15)-C16</f>
        <v>181897500</v>
      </c>
      <c r="D17" s="79">
        <f>SUM(D13:D15)-D16</f>
        <v>446071000</v>
      </c>
      <c r="E17" s="10"/>
      <c r="F17" s="10"/>
      <c r="G17" s="10"/>
      <c r="H17" s="10"/>
      <c r="I17" s="10"/>
      <c r="J17" s="10"/>
      <c r="K17"/>
    </row>
    <row r="18" spans="1:13" ht="15" x14ac:dyDescent="0.25">
      <c r="A18" s="74"/>
      <c r="B18" s="77"/>
      <c r="C18" s="77"/>
      <c r="D18" s="77"/>
      <c r="E18" s="10"/>
      <c r="F18" s="10"/>
      <c r="G18" s="10"/>
      <c r="H18" s="10"/>
      <c r="I18" s="10"/>
      <c r="J18" s="10"/>
      <c r="K18"/>
    </row>
    <row r="19" spans="1:13" ht="15" x14ac:dyDescent="0.25">
      <c r="A19" s="74" t="s">
        <v>16</v>
      </c>
      <c r="B19" s="79">
        <f>B17*0.01</f>
        <v>2641735</v>
      </c>
      <c r="C19" s="79">
        <f>C17*0.01</f>
        <v>1818975</v>
      </c>
      <c r="D19" s="79">
        <f>SUM(B19:C19)</f>
        <v>4460710</v>
      </c>
      <c r="E19" s="10"/>
      <c r="F19" s="10"/>
      <c r="G19" s="10"/>
      <c r="H19" s="10"/>
      <c r="I19" s="10"/>
      <c r="J19" s="10"/>
      <c r="K19"/>
    </row>
    <row r="20" spans="1:13" ht="15" x14ac:dyDescent="0.25">
      <c r="A20" s="11"/>
      <c r="B20" s="15"/>
      <c r="C20" s="15"/>
      <c r="D20" s="15"/>
      <c r="E20" s="10"/>
      <c r="F20" s="10"/>
      <c r="G20" s="10"/>
      <c r="H20" s="10"/>
      <c r="I20" s="10"/>
      <c r="J20" s="10"/>
      <c r="K20"/>
    </row>
    <row r="21" spans="1:13" ht="15" x14ac:dyDescent="0.25">
      <c r="A21" s="11"/>
      <c r="B21" s="14"/>
      <c r="C21" s="14"/>
      <c r="D21" s="14"/>
      <c r="E21" s="10"/>
      <c r="F21" s="10"/>
      <c r="G21" s="10"/>
      <c r="H21" s="10"/>
      <c r="I21" s="10"/>
      <c r="J21" s="10"/>
      <c r="K21"/>
    </row>
    <row r="22" spans="1:13" ht="39" customHeight="1" x14ac:dyDescent="0.25">
      <c r="A22" s="67" t="s">
        <v>63</v>
      </c>
      <c r="B22" s="68">
        <f>B10-B17-B19</f>
        <v>10265265</v>
      </c>
      <c r="C22" s="68">
        <f>C10-C17-C19</f>
        <v>-24544475</v>
      </c>
      <c r="D22" s="68">
        <f>D10-D17-D19</f>
        <v>-14279210</v>
      </c>
      <c r="E22" s="10"/>
      <c r="F22" s="10"/>
      <c r="G22" s="10"/>
      <c r="H22" s="10"/>
      <c r="I22" s="10"/>
      <c r="J22" s="10"/>
      <c r="K22"/>
    </row>
    <row r="23" spans="1:13" ht="15" x14ac:dyDescent="0.25">
      <c r="A23" s="40" t="s">
        <v>18</v>
      </c>
      <c r="B23" s="65">
        <f>B22/B10</f>
        <v>3.7047951768529361E-2</v>
      </c>
      <c r="C23" s="65">
        <f>C22/C10</f>
        <v>-0.15420095871133113</v>
      </c>
      <c r="D23" s="65">
        <f>D22/D10</f>
        <v>-3.2731525893834421E-2</v>
      </c>
      <c r="E23" s="10"/>
      <c r="F23" s="10"/>
      <c r="G23" s="10"/>
      <c r="H23" s="10"/>
      <c r="I23" s="10"/>
      <c r="J23" s="10"/>
      <c r="K23"/>
    </row>
    <row r="24" spans="1:13" ht="15" x14ac:dyDescent="0.25">
      <c r="A24" s="41" t="s">
        <v>19</v>
      </c>
      <c r="B24" s="66">
        <v>98500</v>
      </c>
      <c r="C24" s="66">
        <v>26000</v>
      </c>
      <c r="D24" s="66">
        <f>SUM(B24:C24)</f>
        <v>124500</v>
      </c>
      <c r="E24" s="10"/>
      <c r="F24" s="10"/>
      <c r="G24" s="10"/>
      <c r="H24" s="10"/>
      <c r="I24" s="10"/>
      <c r="J24" s="10"/>
      <c r="K24"/>
    </row>
    <row r="25" spans="1:13" ht="15" x14ac:dyDescent="0.25">
      <c r="A25" s="10"/>
      <c r="B25" s="16"/>
      <c r="C25" s="16"/>
      <c r="D25" s="16"/>
      <c r="E25" s="16"/>
      <c r="F25" s="16"/>
      <c r="G25" s="16"/>
      <c r="H25" s="16"/>
      <c r="I25" s="16"/>
      <c r="J25" s="16"/>
      <c r="K25"/>
    </row>
    <row r="26" spans="1:13" ht="22.5" customHeight="1" x14ac:dyDescent="0.25">
      <c r="A26" s="88" t="s">
        <v>52</v>
      </c>
      <c r="B26" s="88"/>
      <c r="C26" s="88"/>
      <c r="D26" s="88"/>
      <c r="E26" s="88"/>
      <c r="F26" s="88"/>
      <c r="G26" s="88"/>
      <c r="H26" s="10"/>
      <c r="I26" s="10"/>
      <c r="J26" s="10"/>
      <c r="K26" s="3"/>
    </row>
    <row r="27" spans="1:13" ht="15" x14ac:dyDescent="0.25">
      <c r="A27" s="11"/>
      <c r="B27" s="17"/>
      <c r="C27" s="17"/>
      <c r="D27" s="18"/>
      <c r="E27" s="10"/>
      <c r="F27" s="19"/>
      <c r="G27" s="19"/>
      <c r="H27" s="10"/>
      <c r="I27" s="10"/>
      <c r="J27" s="10"/>
      <c r="K27" s="2"/>
    </row>
    <row r="28" spans="1:13" ht="15" x14ac:dyDescent="0.25">
      <c r="A28" s="60" t="s">
        <v>9</v>
      </c>
      <c r="B28" s="14">
        <f>D10</f>
        <v>436252500</v>
      </c>
      <c r="C28" s="61"/>
      <c r="D28" s="14"/>
      <c r="E28" s="10"/>
      <c r="F28" s="10"/>
      <c r="G28" s="10"/>
      <c r="H28" s="10"/>
      <c r="I28" s="10"/>
      <c r="J28" s="10"/>
      <c r="K28" s="7"/>
      <c r="L28"/>
      <c r="M28"/>
    </row>
    <row r="29" spans="1:13" ht="15" x14ac:dyDescent="0.25">
      <c r="A29" s="10" t="s">
        <v>21</v>
      </c>
      <c r="B29" s="14">
        <f>D22</f>
        <v>-14279210</v>
      </c>
      <c r="C29" s="14"/>
      <c r="D29" s="14"/>
      <c r="E29" s="10"/>
      <c r="F29" s="10"/>
      <c r="G29" s="10"/>
      <c r="H29" s="10"/>
      <c r="I29" s="10"/>
      <c r="J29" s="10"/>
      <c r="K29" s="7"/>
      <c r="L29"/>
      <c r="M29"/>
    </row>
    <row r="30" spans="1:13" ht="15" x14ac:dyDescent="0.25">
      <c r="A30" s="10" t="s">
        <v>18</v>
      </c>
      <c r="B30" s="62">
        <f>B29/B28</f>
        <v>-3.2731525893834421E-2</v>
      </c>
      <c r="C30" s="14"/>
      <c r="D30" s="14"/>
      <c r="E30" s="14"/>
      <c r="F30" s="10"/>
      <c r="G30" s="10"/>
      <c r="H30" s="10"/>
      <c r="I30" s="10"/>
      <c r="J30" s="10"/>
      <c r="K30" s="7"/>
      <c r="L30"/>
      <c r="M30"/>
    </row>
    <row r="31" spans="1:13" ht="15" x14ac:dyDescent="0.25">
      <c r="A31" s="10"/>
      <c r="B31" s="14"/>
      <c r="C31" s="14"/>
      <c r="D31" s="14"/>
      <c r="E31" s="14"/>
      <c r="F31" s="10"/>
      <c r="G31" s="10"/>
      <c r="H31" s="10"/>
      <c r="I31" s="10"/>
      <c r="J31" s="10"/>
      <c r="K31" s="7"/>
      <c r="L31"/>
      <c r="M31"/>
    </row>
    <row r="32" spans="1:13" ht="15" x14ac:dyDescent="0.25">
      <c r="A32" s="11" t="s">
        <v>22</v>
      </c>
      <c r="B32" s="14">
        <f>IF(B29&gt;0,-SUM(E41:E44),-SUM(E48:E52))</f>
        <v>4165620</v>
      </c>
      <c r="C32" s="14"/>
      <c r="D32" s="14"/>
      <c r="E32" s="14"/>
      <c r="F32" s="14"/>
      <c r="G32" s="10"/>
      <c r="H32" s="10"/>
      <c r="I32" s="14"/>
      <c r="J32" s="10"/>
      <c r="K32" s="7"/>
      <c r="L32"/>
      <c r="M32"/>
    </row>
    <row r="33" spans="1:13" ht="15" x14ac:dyDescent="0.25">
      <c r="A33" s="52"/>
      <c r="B33" s="14"/>
      <c r="C33" s="10"/>
      <c r="D33" s="14"/>
      <c r="E33" s="14"/>
      <c r="F33" s="10"/>
      <c r="G33" s="10"/>
      <c r="H33" s="10"/>
      <c r="I33" s="14"/>
      <c r="J33" s="10"/>
      <c r="K33" s="7"/>
      <c r="L33"/>
      <c r="M33"/>
    </row>
    <row r="34" spans="1:13" ht="15" x14ac:dyDescent="0.25">
      <c r="A34" s="52" t="s">
        <v>23</v>
      </c>
      <c r="B34" s="14"/>
      <c r="C34" s="10"/>
      <c r="D34" s="14"/>
      <c r="E34" s="14"/>
      <c r="F34" s="10"/>
      <c r="G34" s="10"/>
      <c r="H34" s="10"/>
      <c r="I34" s="14"/>
      <c r="J34" s="10"/>
      <c r="K34" s="7"/>
      <c r="L34"/>
      <c r="M34"/>
    </row>
    <row r="35" spans="1:13" ht="15" x14ac:dyDescent="0.25">
      <c r="A35" s="52"/>
      <c r="B35" s="14"/>
      <c r="C35" s="10"/>
      <c r="D35" s="14"/>
      <c r="E35" s="14"/>
      <c r="F35" s="10"/>
      <c r="G35" s="10"/>
      <c r="H35" s="10"/>
      <c r="I35" s="14"/>
      <c r="J35" s="10"/>
      <c r="K35" s="7"/>
      <c r="L35"/>
      <c r="M35"/>
    </row>
    <row r="36" spans="1:13" ht="15" x14ac:dyDescent="0.25">
      <c r="A36" s="11" t="s">
        <v>24</v>
      </c>
      <c r="B36" s="14">
        <f>SUM(B32,B34)/0.98-SUM(B32,B34)</f>
        <v>85012.653061224148</v>
      </c>
      <c r="C36" s="53"/>
      <c r="D36" s="14"/>
      <c r="E36" s="10"/>
      <c r="F36" s="10"/>
      <c r="G36" s="10"/>
      <c r="H36" s="10"/>
      <c r="I36" s="10"/>
      <c r="J36" s="10"/>
      <c r="K36" s="7"/>
      <c r="L36"/>
      <c r="M36"/>
    </row>
    <row r="37" spans="1:13" ht="15.75" thickBot="1" x14ac:dyDescent="0.3">
      <c r="A37" s="11" t="s">
        <v>25</v>
      </c>
      <c r="B37" s="54">
        <f>SUM(B32+B34+B36)</f>
        <v>4250632.6530612241</v>
      </c>
      <c r="C37" s="10"/>
      <c r="D37" s="10"/>
      <c r="E37" s="10"/>
      <c r="F37" s="10"/>
      <c r="G37" s="10"/>
      <c r="H37" s="10"/>
      <c r="I37" s="10"/>
      <c r="J37" s="10"/>
      <c r="K37" s="7"/>
      <c r="L37"/>
      <c r="M37"/>
    </row>
    <row r="38" spans="1:13" ht="15.75" thickTop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7"/>
      <c r="L38"/>
      <c r="M38"/>
    </row>
    <row r="39" spans="1:13" ht="15" x14ac:dyDescent="0.25">
      <c r="A39" s="10"/>
      <c r="B39" s="14"/>
      <c r="C39" s="21"/>
      <c r="D39" s="21" t="s">
        <v>26</v>
      </c>
      <c r="E39" s="21"/>
      <c r="F39" s="21"/>
      <c r="G39" s="21"/>
      <c r="H39" s="10"/>
      <c r="I39" s="10"/>
      <c r="J39" s="10"/>
      <c r="K39" s="2"/>
    </row>
    <row r="40" spans="1:13" ht="15" x14ac:dyDescent="0.25">
      <c r="A40" s="11" t="s">
        <v>27</v>
      </c>
      <c r="B40" s="10" t="s">
        <v>28</v>
      </c>
      <c r="C40" s="21" t="s">
        <v>29</v>
      </c>
      <c r="D40" s="21" t="s">
        <v>30</v>
      </c>
      <c r="E40" s="21" t="s">
        <v>31</v>
      </c>
      <c r="F40" s="21"/>
      <c r="G40" s="21" t="s">
        <v>32</v>
      </c>
      <c r="H40" s="10"/>
      <c r="I40" s="10"/>
      <c r="J40" s="21"/>
      <c r="K40" s="2"/>
    </row>
    <row r="41" spans="1:13" ht="15" x14ac:dyDescent="0.25">
      <c r="A41" s="10"/>
      <c r="B41" s="22" t="s">
        <v>53</v>
      </c>
      <c r="C41" s="63">
        <v>0</v>
      </c>
      <c r="D41" s="23">
        <f>IF(G41&lt;=0,0,IF($B$28*0.02&gt;G41,G41,$B$28*0.02))</f>
        <v>0</v>
      </c>
      <c r="E41" s="23">
        <f>+C41*D41</f>
        <v>0</v>
      </c>
      <c r="F41" s="10"/>
      <c r="G41" s="24">
        <f>+IF(B29&lt;0,0,B29)</f>
        <v>0</v>
      </c>
      <c r="H41" s="24"/>
      <c r="I41" s="10"/>
      <c r="J41" s="23"/>
      <c r="K41" s="2"/>
    </row>
    <row r="42" spans="1:13" ht="15" x14ac:dyDescent="0.25">
      <c r="A42" s="10"/>
      <c r="B42" s="22" t="s">
        <v>60</v>
      </c>
      <c r="C42" s="63">
        <v>0.25</v>
      </c>
      <c r="D42" s="23">
        <f>IF(G42&lt;=0,0,IF($B$28*0.02&gt;G42,G42,$B$28*0.02))</f>
        <v>0</v>
      </c>
      <c r="E42" s="23">
        <f>+C42*D42</f>
        <v>0</v>
      </c>
      <c r="F42" s="10"/>
      <c r="G42" s="24">
        <f>+G41-D41</f>
        <v>0</v>
      </c>
      <c r="H42" s="24"/>
      <c r="I42" s="10"/>
      <c r="J42" s="23"/>
      <c r="K42" s="2"/>
    </row>
    <row r="43" spans="1:13" ht="15" x14ac:dyDescent="0.25">
      <c r="A43" s="10"/>
      <c r="B43" s="22" t="s">
        <v>35</v>
      </c>
      <c r="C43" s="63">
        <v>0.75</v>
      </c>
      <c r="D43" s="23">
        <f>IF(G43&lt;=0,0,IF($B$28*0.03&gt;G43,G43,$B$28*0.03))</f>
        <v>0</v>
      </c>
      <c r="E43" s="23">
        <f>+C43*D43</f>
        <v>0</v>
      </c>
      <c r="F43" s="10"/>
      <c r="G43" s="24">
        <f>+G42-D42</f>
        <v>0</v>
      </c>
      <c r="H43" s="24"/>
      <c r="I43" s="10"/>
      <c r="J43" s="23"/>
      <c r="K43" s="2"/>
    </row>
    <row r="44" spans="1:13" ht="19.5" customHeight="1" x14ac:dyDescent="0.25">
      <c r="A44" s="10"/>
      <c r="B44" s="22" t="s">
        <v>56</v>
      </c>
      <c r="C44" s="63">
        <v>1</v>
      </c>
      <c r="D44" s="23">
        <f>IF(G44&lt;=0,0,IF($B$28*0.93&gt;G44,G44,$B$28*0.93))</f>
        <v>0</v>
      </c>
      <c r="E44" s="23">
        <f>+C44*D44</f>
        <v>0</v>
      </c>
      <c r="F44" s="10"/>
      <c r="G44" s="24">
        <f>+G43-D43</f>
        <v>0</v>
      </c>
      <c r="H44" s="20"/>
      <c r="I44" s="10"/>
      <c r="J44" s="23"/>
      <c r="K44" s="2"/>
    </row>
    <row r="45" spans="1:13" ht="1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2"/>
    </row>
    <row r="46" spans="1:13" ht="15" x14ac:dyDescent="0.25">
      <c r="A46" s="10"/>
      <c r="B46" s="14"/>
      <c r="C46" s="21"/>
      <c r="D46" s="21" t="s">
        <v>37</v>
      </c>
      <c r="E46" s="21"/>
      <c r="F46" s="21"/>
      <c r="G46" s="21"/>
      <c r="H46" s="10"/>
      <c r="I46" s="10"/>
      <c r="J46" s="25"/>
      <c r="K46" s="2"/>
    </row>
    <row r="47" spans="1:13" ht="15" x14ac:dyDescent="0.25">
      <c r="A47" s="11" t="s">
        <v>27</v>
      </c>
      <c r="B47" s="10" t="s">
        <v>38</v>
      </c>
      <c r="C47" s="21" t="s">
        <v>29</v>
      </c>
      <c r="D47" s="21" t="s">
        <v>30</v>
      </c>
      <c r="E47" s="21" t="s">
        <v>39</v>
      </c>
      <c r="F47" s="21"/>
      <c r="G47" s="21" t="s">
        <v>32</v>
      </c>
      <c r="H47" s="10"/>
      <c r="I47" s="10"/>
      <c r="J47" s="25"/>
      <c r="K47" s="2"/>
    </row>
    <row r="48" spans="1:13" ht="15" x14ac:dyDescent="0.25">
      <c r="A48" s="10"/>
      <c r="B48" s="81">
        <v>0.01</v>
      </c>
      <c r="C48" s="63">
        <v>0</v>
      </c>
      <c r="D48" s="23">
        <f>IF(G48&gt;=0,0,IF(-$B$28*0.01&lt;G48,G48,-$B$28*0.01))</f>
        <v>-4362525</v>
      </c>
      <c r="E48" s="23">
        <f>+D48*C48</f>
        <v>0</v>
      </c>
      <c r="F48" s="10"/>
      <c r="G48" s="24">
        <f>+IF(B29&gt;0,0,B29)</f>
        <v>-14279210</v>
      </c>
      <c r="H48" s="24"/>
      <c r="I48" s="10"/>
      <c r="J48" s="23"/>
      <c r="K48" s="2"/>
    </row>
    <row r="49" spans="1:11" ht="15" x14ac:dyDescent="0.25">
      <c r="A49" s="10"/>
      <c r="B49" s="55" t="s">
        <v>58</v>
      </c>
      <c r="C49" s="63">
        <v>0.25</v>
      </c>
      <c r="D49" s="23">
        <f>IF(G49&gt;0,0,IF(-$B$28*0.01&lt;G49,G49,-$B$28*0.01))</f>
        <v>-4362525</v>
      </c>
      <c r="E49" s="23">
        <f t="shared" ref="E49:E52" si="1">+D49*C49</f>
        <v>-1090631.25</v>
      </c>
      <c r="F49" s="10"/>
      <c r="G49" s="24">
        <f>G48-D48</f>
        <v>-9916685</v>
      </c>
      <c r="H49" s="24"/>
      <c r="I49" s="10"/>
      <c r="J49" s="23"/>
      <c r="K49" s="2"/>
    </row>
    <row r="50" spans="1:11" ht="15" x14ac:dyDescent="0.25">
      <c r="A50" s="10"/>
      <c r="B50" s="56" t="s">
        <v>42</v>
      </c>
      <c r="C50" s="63">
        <v>0.5</v>
      </c>
      <c r="D50" s="23">
        <f>IF(G50&gt;0,0,IF(-$B$28*0.01&lt;G50,G50,-$B$28*0.01))</f>
        <v>-4362525</v>
      </c>
      <c r="E50" s="23">
        <f t="shared" si="1"/>
        <v>-2181262.5</v>
      </c>
      <c r="F50" s="10"/>
      <c r="G50" s="24">
        <f>G49-D49</f>
        <v>-5554160</v>
      </c>
      <c r="H50" s="24"/>
      <c r="I50" s="10"/>
      <c r="J50" s="23"/>
      <c r="K50" s="2"/>
    </row>
    <row r="51" spans="1:11" ht="15" x14ac:dyDescent="0.25">
      <c r="A51" s="10"/>
      <c r="B51" s="56" t="s">
        <v>43</v>
      </c>
      <c r="C51" s="63">
        <v>0.75</v>
      </c>
      <c r="D51" s="23">
        <f>IF(G51&gt;0,0,IF(-$B$28*0.01&lt;G51,G51,-$B$28*0.01))</f>
        <v>-1191635</v>
      </c>
      <c r="E51" s="23">
        <f t="shared" si="1"/>
        <v>-893726.25</v>
      </c>
      <c r="F51" s="10"/>
      <c r="G51" s="24">
        <f>G50-D50</f>
        <v>-1191635</v>
      </c>
      <c r="H51" s="24"/>
      <c r="I51" s="10"/>
      <c r="J51" s="23"/>
      <c r="K51" s="2"/>
    </row>
    <row r="52" spans="1:11" ht="15" x14ac:dyDescent="0.25">
      <c r="A52" s="10"/>
      <c r="B52" s="22" t="s">
        <v>44</v>
      </c>
      <c r="C52" s="63">
        <v>1</v>
      </c>
      <c r="D52" s="23">
        <f>IF(G52&gt;0,0,IF(-$B$28*0.96&lt;G52,G52,-$B$28*0.96))</f>
        <v>0</v>
      </c>
      <c r="E52" s="23">
        <f t="shared" si="1"/>
        <v>0</v>
      </c>
      <c r="F52" s="10"/>
      <c r="G52" s="24">
        <f>G51-D51</f>
        <v>0</v>
      </c>
      <c r="H52" s="24"/>
      <c r="I52" s="10"/>
      <c r="J52" s="23"/>
      <c r="K52" s="2"/>
    </row>
    <row r="53" spans="1:11" ht="15" x14ac:dyDescent="0.25">
      <c r="A53" s="10"/>
      <c r="B53" s="22"/>
      <c r="C53" s="63"/>
      <c r="D53" s="23"/>
      <c r="E53" s="23"/>
      <c r="F53" s="10"/>
      <c r="G53" s="24"/>
      <c r="H53" s="24"/>
      <c r="I53" s="10"/>
      <c r="J53" s="23"/>
      <c r="K53" s="2"/>
    </row>
    <row r="54" spans="1:11" ht="15.75" thickBo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2"/>
    </row>
    <row r="55" spans="1:11" ht="15.75" x14ac:dyDescent="0.25">
      <c r="A55" s="64" t="s">
        <v>45</v>
      </c>
      <c r="B55" s="82"/>
      <c r="C55" s="82"/>
      <c r="D55" s="82"/>
      <c r="E55" s="83"/>
      <c r="F55" s="8"/>
      <c r="G55" s="8"/>
      <c r="H55" s="8"/>
      <c r="I55" s="8"/>
      <c r="J55" s="2"/>
      <c r="K55" s="2"/>
    </row>
    <row r="56" spans="1:11" ht="15" x14ac:dyDescent="0.25">
      <c r="A56" s="46" t="s">
        <v>46</v>
      </c>
      <c r="E56" s="84"/>
    </row>
    <row r="57" spans="1:11" ht="15" x14ac:dyDescent="0.25">
      <c r="A57" s="46" t="s">
        <v>47</v>
      </c>
      <c r="E57" s="84"/>
    </row>
    <row r="58" spans="1:11" ht="15" x14ac:dyDescent="0.25">
      <c r="A58" s="46" t="s">
        <v>48</v>
      </c>
      <c r="E58" s="84"/>
    </row>
    <row r="59" spans="1:11" ht="15" x14ac:dyDescent="0.25">
      <c r="A59" s="46" t="s">
        <v>59</v>
      </c>
      <c r="E59" s="84"/>
    </row>
    <row r="60" spans="1:11" ht="15.75" thickBot="1" x14ac:dyDescent="0.25">
      <c r="A60" s="48" t="s">
        <v>50</v>
      </c>
      <c r="B60" s="85"/>
      <c r="C60" s="85"/>
      <c r="D60" s="85"/>
      <c r="E60" s="86"/>
    </row>
  </sheetData>
  <mergeCells count="1">
    <mergeCell ref="A26:G26"/>
  </mergeCells>
  <pageMargins left="0.75" right="0.75" top="1.16458333333333" bottom="0.73906249999999996" header="0.5" footer="0.5"/>
  <pageSetup scale="50" orientation="landscape" r:id="rId1"/>
  <headerFooter alignWithMargins="0">
    <oddHeader>&amp;L&amp;G&amp;C&amp;"Calibri,Bold"&amp;12&amp;K369992AHCCCS CONTRACTOR OPERATIONS MANUAL - 
POLICY 301 CYE 27 FWD - ATTACHMENT A -
ALTCS E/PD PROGRAM TIERED RECONCILIATION - EXAMPLE
FOR THE CONTRACT YEAR ENDED 09/30/xx
AS OF: xx/xx/xx
&amp;KFF0000IMPLEMENTATION DATE 10/01/26</oddHeader>
    <oddFooter>&amp;L&amp;"-,Regular"&amp;K369992Effective Dates: &amp;K36999210/01/26&amp;K369992
Approval Dates: &amp;K36999208/07/26&amp;C&amp;"-,Bold"&amp;11&amp;K369992 301 CYE 27 FWD - Attachment A - 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1CB2E9DD614A43A66932E7A29982D5" ma:contentTypeVersion="12" ma:contentTypeDescription="Create a new document." ma:contentTypeScope="" ma:versionID="c3f1fffb23c633fdd82b8c82e870c15e">
  <xsd:schema xmlns:xsd="http://www.w3.org/2001/XMLSchema" xmlns:xs="http://www.w3.org/2001/XMLSchema" xmlns:p="http://schemas.microsoft.com/office/2006/metadata/properties" xmlns:ns2="898c3d9e-a56e-434b-bb6a-7c6f06128eeb" xmlns:ns3="5539627f-a073-49ae-920d-28f8649be131" targetNamespace="http://schemas.microsoft.com/office/2006/metadata/properties" ma:root="true" ma:fieldsID="b0b2d88a8667edaf7f4fc07b13c7972e" ns2:_="" ns3:_="">
    <xsd:import namespace="898c3d9e-a56e-434b-bb6a-7c6f06128eeb"/>
    <xsd:import namespace="5539627f-a073-49ae-920d-28f8649be1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3d9e-a56e-434b-bb6a-7c6f06128e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9627f-a073-49ae-920d-28f8649be1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98c3d9e-a56e-434b-bb6a-7c6f06128ee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B41A793-70C5-49E3-8B50-B8686E951E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7B9C39-397F-4097-8FAA-86DBD79CB51B}"/>
</file>

<file path=customXml/itemProps3.xml><?xml version="1.0" encoding="utf-8"?>
<ds:datastoreItem xmlns:ds="http://schemas.openxmlformats.org/officeDocument/2006/customXml" ds:itemID="{580D4CBE-E1B1-4F0F-AE4C-437118240F5B}">
  <ds:schemaRefs>
    <ds:schemaRef ds:uri="http://purl.org/dc/elements/1.1/"/>
    <ds:schemaRef ds:uri="http://purl.org/dc/dcmitype/"/>
    <ds:schemaRef ds:uri="52a80b62-27cb-4b8e-ad5c-9ed813b8c946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fa328e85-1231-4692-ab8d-fba2a139eb0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Reconciliation Template</vt:lpstr>
      <vt:lpstr>Recon Example Calc-Profit</vt:lpstr>
      <vt:lpstr>Recon Example Calc-Loss</vt:lpstr>
      <vt:lpstr>'Recon Example Calc-Loss'!Print_Area</vt:lpstr>
      <vt:lpstr>'Recon Example Calc-Profit'!Print_Area</vt:lpstr>
      <vt:lpstr>'Reconciliation Template'!Print_Area</vt:lpstr>
    </vt:vector>
  </TitlesOfParts>
  <Manager/>
  <Company>AHCCCS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ACOM POLICY 301 ATTACHMENT A</dc:title>
  <dc:subject/>
  <dc:creator>Paredes, Maria</dc:creator>
  <cp:keywords/>
  <dc:description/>
  <cp:lastModifiedBy>Paredes, Maria</cp:lastModifiedBy>
  <cp:revision/>
  <dcterms:created xsi:type="dcterms:W3CDTF">2018-09-13T04:15:52Z</dcterms:created>
  <dcterms:modified xsi:type="dcterms:W3CDTF">2026-08-14T15:30:52Z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0x010100F11CB2E9DD614A43A66932E7A29982D5</vt:lpwstr>
  </property>
  <property fmtid="{D5CDD505-2E9C-101B-9397-08002B2CF9AE}" pid="3" name="WorkflowChangePath">
    <vt:lpwstr>173d42c7-3487-41a1-8f37-2b3815e72e09,24;</vt:lpwstr>
  </property>
  <property fmtid="{D5CDD505-2E9C-101B-9397-08002B2CF9AE}" pid="4" name="APC">
    <vt:bool>false</vt:bool>
  </property>
  <property fmtid="{D5CDD505-2E9C-101B-9397-08002B2CF9AE}" pid="5" name="APC0">
    <vt:bool>false</vt:bool>
  </property>
  <property fmtid="{D5CDD505-2E9C-101B-9397-08002B2CF9AE}" pid="6" name="Checked Out">
    <vt:bool>false</vt:bool>
  </property>
  <property fmtid="{D5CDD505-2E9C-101B-9397-08002B2CF9AE}" pid="7" name="AD Alternate 2">
    <vt:lpwstr/>
  </property>
  <property fmtid="{D5CDD505-2E9C-101B-9397-08002B2CF9AE}" pid="8" name="AD Alternate 1">
    <vt:lpwstr/>
  </property>
  <property fmtid="{D5CDD505-2E9C-101B-9397-08002B2CF9AE}" pid="9" name="AD1">
    <vt:lpwstr/>
  </property>
  <property fmtid="{D5CDD505-2E9C-101B-9397-08002B2CF9AE}" pid="10" name="IntWorkflow">
    <vt:lpwstr/>
  </property>
  <property fmtid="{D5CDD505-2E9C-101B-9397-08002B2CF9AE}" pid="11" name="AMPM Chapter test">
    <vt:lpwstr>Chapter 100</vt:lpwstr>
  </property>
  <property fmtid="{D5CDD505-2E9C-101B-9397-08002B2CF9AE}" pid="12" name="AD2">
    <vt:lpwstr/>
  </property>
  <property fmtid="{D5CDD505-2E9C-101B-9397-08002B2CF9AE}" pid="13" name="Urgent">
    <vt:bool>false</vt:bool>
  </property>
  <property fmtid="{D5CDD505-2E9C-101B-9397-08002B2CF9AE}" pid="14" name="Order">
    <vt:r8>214700</vt:r8>
  </property>
  <property fmtid="{D5CDD505-2E9C-101B-9397-08002B2CF9AE}" pid="15" name="xd_Signature">
    <vt:bool>false</vt:bool>
  </property>
  <property fmtid="{D5CDD505-2E9C-101B-9397-08002B2CF9AE}" pid="16" name="xd_ProgID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  <property fmtid="{D5CDD505-2E9C-101B-9397-08002B2CF9AE}" pid="21" name="SharedWithUsers">
    <vt:lpwstr/>
  </property>
  <property fmtid="{D5CDD505-2E9C-101B-9397-08002B2CF9AE}" pid="22" name="MediaServiceImageTags">
    <vt:lpwstr/>
  </property>
</Properties>
</file>