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COM 311 CYE 25\"/>
    </mc:Choice>
  </mc:AlternateContent>
  <xr:revisionPtr revIDLastSave="0" documentId="8_{44BC9902-4A0D-46EB-A295-0066BFDDF8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conciliation Template" sheetId="3" r:id="rId1"/>
    <sheet name="Recon Example Calc-Profit" sheetId="1" r:id="rId2"/>
    <sheet name="Recon Example Calc-Loss" sheetId="2" r:id="rId3"/>
  </sheets>
  <externalReferences>
    <externalReference r:id="rId4"/>
  </externalReferences>
  <definedNames>
    <definedName name="Bound">[1]Inputs!$B$6</definedName>
    <definedName name="ReconPercent">[1]Inputs!$B$4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3" l="1"/>
  <c r="B31" i="3"/>
  <c r="B32" i="3"/>
  <c r="C22" i="3"/>
  <c r="D22" i="3"/>
  <c r="E22" i="3"/>
  <c r="F22" i="3"/>
  <c r="G22" i="3"/>
  <c r="H22" i="3"/>
  <c r="I22" i="3"/>
  <c r="J22" i="3"/>
  <c r="K22" i="3"/>
  <c r="L22" i="3"/>
  <c r="M22" i="3"/>
  <c r="B22" i="3"/>
  <c r="M23" i="3"/>
  <c r="M7" i="3"/>
  <c r="M13" i="3"/>
  <c r="M14" i="3"/>
  <c r="M15" i="3"/>
  <c r="M16" i="3"/>
  <c r="B17" i="3"/>
  <c r="B19" i="3" s="1"/>
  <c r="C17" i="3"/>
  <c r="C19" i="3" s="1"/>
  <c r="D17" i="3"/>
  <c r="D19" i="3" s="1"/>
  <c r="E17" i="3"/>
  <c r="E19" i="3" s="1"/>
  <c r="F17" i="3"/>
  <c r="F19" i="3" s="1"/>
  <c r="G17" i="3"/>
  <c r="G19" i="3" s="1"/>
  <c r="H17" i="3"/>
  <c r="H19" i="3" s="1"/>
  <c r="I17" i="3"/>
  <c r="I19" i="3" s="1"/>
  <c r="J17" i="3"/>
  <c r="J19" i="3" s="1"/>
  <c r="K17" i="3"/>
  <c r="L17" i="3"/>
  <c r="L19" i="3" s="1"/>
  <c r="M4" i="3"/>
  <c r="M5" i="3"/>
  <c r="M6" i="3"/>
  <c r="M8" i="3"/>
  <c r="M9" i="3"/>
  <c r="B10" i="3"/>
  <c r="C10" i="3"/>
  <c r="C21" i="3" s="1"/>
  <c r="D10" i="3"/>
  <c r="E10" i="3"/>
  <c r="F10" i="3"/>
  <c r="G10" i="3"/>
  <c r="H10" i="3"/>
  <c r="H21" i="3" s="1"/>
  <c r="I10" i="3"/>
  <c r="I21" i="3" s="1"/>
  <c r="J10" i="3"/>
  <c r="K10" i="3"/>
  <c r="K21" i="3" s="1"/>
  <c r="L10" i="3"/>
  <c r="M23" i="1"/>
  <c r="J13" i="2"/>
  <c r="I13" i="2"/>
  <c r="I17" i="2" s="1"/>
  <c r="I19" i="2" s="1"/>
  <c r="E13" i="2"/>
  <c r="E17" i="2" s="1"/>
  <c r="E19" i="2" s="1"/>
  <c r="C13" i="2"/>
  <c r="C17" i="2" s="1"/>
  <c r="C19" i="2" s="1"/>
  <c r="H13" i="2"/>
  <c r="H17" i="2" s="1"/>
  <c r="H19" i="2" s="1"/>
  <c r="B13" i="2"/>
  <c r="B17" i="2" s="1"/>
  <c r="B19" i="2" s="1"/>
  <c r="D13" i="2"/>
  <c r="D17" i="2" s="1"/>
  <c r="D19" i="2" s="1"/>
  <c r="M23" i="2"/>
  <c r="L17" i="2"/>
  <c r="L19" i="2" s="1"/>
  <c r="K17" i="2"/>
  <c r="G17" i="2"/>
  <c r="G19" i="2" s="1"/>
  <c r="F17" i="2"/>
  <c r="F19" i="2" s="1"/>
  <c r="M16" i="2"/>
  <c r="J15" i="2"/>
  <c r="M15" i="2" s="1"/>
  <c r="M14" i="2"/>
  <c r="L9" i="2"/>
  <c r="L10" i="2" s="1"/>
  <c r="K9" i="2"/>
  <c r="K10" i="2" s="1"/>
  <c r="I9" i="2"/>
  <c r="I10" i="2" s="1"/>
  <c r="H9" i="2"/>
  <c r="H10" i="2" s="1"/>
  <c r="G9" i="2"/>
  <c r="G10" i="2" s="1"/>
  <c r="F9" i="2"/>
  <c r="F10" i="2" s="1"/>
  <c r="E9" i="2"/>
  <c r="E10" i="2" s="1"/>
  <c r="D9" i="2"/>
  <c r="D10" i="2" s="1"/>
  <c r="C9" i="2"/>
  <c r="J8" i="2"/>
  <c r="M8" i="2" s="1"/>
  <c r="B7" i="2"/>
  <c r="M7" i="2" s="1"/>
  <c r="M6" i="2"/>
  <c r="J5" i="2"/>
  <c r="M5" i="2" s="1"/>
  <c r="J4" i="2"/>
  <c r="K21" i="2" l="1"/>
  <c r="K22" i="2" s="1"/>
  <c r="M17" i="3"/>
  <c r="J9" i="2"/>
  <c r="J10" i="2" s="1"/>
  <c r="J17" i="2"/>
  <c r="J19" i="2" s="1"/>
  <c r="M19" i="2" s="1"/>
  <c r="B9" i="2"/>
  <c r="B10" i="2" s="1"/>
  <c r="F21" i="2"/>
  <c r="F22" i="2" s="1"/>
  <c r="J21" i="3"/>
  <c r="B21" i="3"/>
  <c r="F21" i="3"/>
  <c r="M10" i="3"/>
  <c r="G21" i="3"/>
  <c r="E21" i="3"/>
  <c r="D21" i="3"/>
  <c r="M19" i="3"/>
  <c r="L21" i="3"/>
  <c r="E21" i="2"/>
  <c r="E22" i="2" s="1"/>
  <c r="H21" i="2"/>
  <c r="H22" i="2" s="1"/>
  <c r="I21" i="2"/>
  <c r="I22" i="2" s="1"/>
  <c r="D21" i="2"/>
  <c r="D22" i="2" s="1"/>
  <c r="B21" i="2"/>
  <c r="B22" i="2" s="1"/>
  <c r="L21" i="2"/>
  <c r="L22" i="2"/>
  <c r="G21" i="2"/>
  <c r="G22" i="2" s="1"/>
  <c r="M13" i="2"/>
  <c r="M17" i="2" s="1"/>
  <c r="M4" i="2"/>
  <c r="C10" i="2"/>
  <c r="C21" i="2" s="1"/>
  <c r="C22" i="2" s="1"/>
  <c r="J21" i="2" l="1"/>
  <c r="J22" i="2" s="1"/>
  <c r="M9" i="2"/>
  <c r="M10" i="2" s="1"/>
  <c r="B30" i="2" s="1"/>
  <c r="M21" i="3"/>
  <c r="M21" i="2" l="1"/>
  <c r="B31" i="2" s="1"/>
  <c r="G45" i="3"/>
  <c r="G55" i="3"/>
  <c r="M22" i="2" l="1"/>
  <c r="D55" i="3"/>
  <c r="E55" i="3" s="1"/>
  <c r="D45" i="3"/>
  <c r="E45" i="3" s="1"/>
  <c r="G45" i="2"/>
  <c r="B32" i="2"/>
  <c r="G55" i="2"/>
  <c r="G56" i="3" l="1"/>
  <c r="G46" i="3"/>
  <c r="D46" i="3" s="1"/>
  <c r="E46" i="3" s="1"/>
  <c r="D56" i="3"/>
  <c r="E56" i="3" s="1"/>
  <c r="D55" i="2"/>
  <c r="E55" i="2" s="1"/>
  <c r="D45" i="2"/>
  <c r="E45" i="2" s="1"/>
  <c r="G57" i="3" l="1"/>
  <c r="G47" i="3"/>
  <c r="G56" i="2"/>
  <c r="D56" i="2" s="1"/>
  <c r="E56" i="2" s="1"/>
  <c r="G46" i="2"/>
  <c r="D47" i="3" l="1"/>
  <c r="E47" i="3" s="1"/>
  <c r="D57" i="3"/>
  <c r="E57" i="3" s="1"/>
  <c r="D46" i="2"/>
  <c r="E46" i="2" s="1"/>
  <c r="G57" i="2"/>
  <c r="G58" i="3" l="1"/>
  <c r="D58" i="3" s="1"/>
  <c r="E58" i="3" s="1"/>
  <c r="G48" i="3"/>
  <c r="D48" i="3" s="1"/>
  <c r="E48" i="3" s="1"/>
  <c r="D57" i="2"/>
  <c r="E57" i="2" s="1"/>
  <c r="G47" i="2"/>
  <c r="G59" i="3" l="1"/>
  <c r="D59" i="3" s="1"/>
  <c r="E59" i="3" s="1"/>
  <c r="B36" i="3" s="1"/>
  <c r="G58" i="2"/>
  <c r="D58" i="2" s="1"/>
  <c r="E58" i="2" s="1"/>
  <c r="D47" i="2"/>
  <c r="E47" i="2" s="1"/>
  <c r="B40" i="3" l="1"/>
  <c r="B41" i="3" s="1"/>
  <c r="G59" i="2"/>
  <c r="D59" i="2" s="1"/>
  <c r="E59" i="2" s="1"/>
  <c r="G48" i="2"/>
  <c r="D48" i="2" s="1"/>
  <c r="E48" i="2" s="1"/>
  <c r="B36" i="2" l="1"/>
  <c r="B40" i="2"/>
  <c r="B41" i="2" s="1"/>
  <c r="L9" i="1" l="1"/>
  <c r="L10" i="1" s="1"/>
  <c r="K9" i="1"/>
  <c r="K10" i="1" s="1"/>
  <c r="I9" i="1"/>
  <c r="I10" i="1" s="1"/>
  <c r="H9" i="1"/>
  <c r="G9" i="1"/>
  <c r="G10" i="1" s="1"/>
  <c r="F9" i="1"/>
  <c r="F10" i="1" s="1"/>
  <c r="E9" i="1"/>
  <c r="E10" i="1" s="1"/>
  <c r="D9" i="1"/>
  <c r="D10" i="1" s="1"/>
  <c r="C9" i="1"/>
  <c r="C10" i="1" s="1"/>
  <c r="B7" i="1"/>
  <c r="M7" i="1" s="1"/>
  <c r="H10" i="1"/>
  <c r="B9" i="1" l="1"/>
  <c r="B10" i="1" s="1"/>
  <c r="L17" i="1"/>
  <c r="L19" i="1" s="1"/>
  <c r="K17" i="1"/>
  <c r="K21" i="1" s="1"/>
  <c r="I17" i="1"/>
  <c r="I19" i="1" s="1"/>
  <c r="H17" i="1"/>
  <c r="H19" i="1" s="1"/>
  <c r="G17" i="1"/>
  <c r="G19" i="1" s="1"/>
  <c r="F17" i="1"/>
  <c r="F19" i="1" s="1"/>
  <c r="E17" i="1"/>
  <c r="E19" i="1" s="1"/>
  <c r="D17" i="1"/>
  <c r="D19" i="1" s="1"/>
  <c r="C17" i="1"/>
  <c r="C19" i="1" s="1"/>
  <c r="J15" i="1"/>
  <c r="J13" i="1"/>
  <c r="J8" i="1"/>
  <c r="J5" i="1"/>
  <c r="J4" i="1"/>
  <c r="J9" i="1" s="1"/>
  <c r="C21" i="1" l="1"/>
  <c r="I21" i="1"/>
  <c r="J10" i="1"/>
  <c r="G21" i="1"/>
  <c r="F21" i="1"/>
  <c r="L21" i="1"/>
  <c r="H21" i="1"/>
  <c r="D21" i="1"/>
  <c r="E21" i="1"/>
  <c r="J17" i="1"/>
  <c r="J19" i="1" s="1"/>
  <c r="K22" i="1"/>
  <c r="J21" i="1" l="1"/>
  <c r="J22" i="1" s="1"/>
  <c r="B13" i="1"/>
  <c r="B17" i="1" s="1"/>
  <c r="B19" i="1" l="1"/>
  <c r="B21" i="1" s="1"/>
  <c r="B22" i="1" s="1"/>
  <c r="M19" i="1"/>
  <c r="M16" i="1"/>
  <c r="M15" i="1"/>
  <c r="M14" i="1"/>
  <c r="M8" i="1"/>
  <c r="M6" i="1"/>
  <c r="M5" i="1"/>
  <c r="M4" i="1"/>
  <c r="G22" i="1" l="1"/>
  <c r="H22" i="1"/>
  <c r="D22" i="1"/>
  <c r="C22" i="1"/>
  <c r="M13" i="1"/>
  <c r="M17" i="1" s="1"/>
  <c r="I22" i="1" l="1"/>
  <c r="F22" i="1"/>
  <c r="E22" i="1"/>
  <c r="L22" i="1"/>
  <c r="M9" i="1"/>
  <c r="M10" i="1" l="1"/>
  <c r="M21" i="1" s="1"/>
  <c r="B31" i="1" s="1"/>
  <c r="G55" i="1" s="1"/>
  <c r="B30" i="1" l="1"/>
  <c r="D55" i="1"/>
  <c r="G56" i="1" s="1"/>
  <c r="M22" i="1"/>
  <c r="D56" i="1" l="1"/>
  <c r="E56" i="1" s="1"/>
  <c r="G45" i="1"/>
  <c r="B32" i="1"/>
  <c r="G57" i="1" l="1"/>
  <c r="D57" i="1" s="1"/>
  <c r="E57" i="1" s="1"/>
  <c r="D45" i="1"/>
  <c r="E45" i="1" s="1"/>
  <c r="G58" i="1" l="1"/>
  <c r="D58" i="1" s="1"/>
  <c r="E58" i="1" s="1"/>
  <c r="G46" i="1"/>
  <c r="D46" i="1" s="1"/>
  <c r="E46" i="1" s="1"/>
  <c r="G47" i="1" l="1"/>
  <c r="D47" i="1" s="1"/>
  <c r="E47" i="1" s="1"/>
  <c r="G59" i="1"/>
  <c r="D59" i="1" s="1"/>
  <c r="E59" i="1" s="1"/>
  <c r="G48" i="1" l="1"/>
  <c r="D48" i="1" s="1"/>
  <c r="E48" i="1" s="1"/>
  <c r="E55" i="1" l="1"/>
  <c r="B36" i="1" l="1"/>
  <c r="B40" i="1" s="1"/>
  <c r="B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tc={22BB3B04-1758-4D9D-8383-ECB5DC72ED9F}</author>
  </authors>
  <commentList>
    <comment ref="A28" authorId="0" shapeId="0" xr:uid="{22BB3B04-1758-4D9D-8383-ECB5DC72ED9F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this should have the same formatting as ‘Reconciliation Template’ since this is supposed to be that template with numbers to show an example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tc={4B3A37B4-ACAE-4A8D-9C00-59B24E929BA9}</author>
  </authors>
  <commentList>
    <comment ref="A28" authorId="0" shapeId="0" xr:uid="{4B3A37B4-ACAE-4A8D-9C00-59B24E929BA9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this should have the same formatting as ‘Reconciliation Template’ since this is supposed to be that template with numbers to show an example
Reply:
    Resolved and reformatted</t>
      </text>
    </comment>
  </commentList>
</comments>
</file>

<file path=xl/sharedStrings.xml><?xml version="1.0" encoding="utf-8"?>
<sst xmlns="http://schemas.openxmlformats.org/spreadsheetml/2006/main" count="200" uniqueCount="79">
  <si>
    <t>TOTAL</t>
  </si>
  <si>
    <t>Prospective Capitation</t>
  </si>
  <si>
    <t>Delivery Supplemental Payments</t>
  </si>
  <si>
    <t>Less: Administrative Component</t>
  </si>
  <si>
    <t>Less: Premium Tax Component</t>
  </si>
  <si>
    <t>Less: CN1 Code 05 Encounters</t>
  </si>
  <si>
    <t>Member Months</t>
  </si>
  <si>
    <t>Total Profit/(Loss) to be Reconciled</t>
  </si>
  <si>
    <t>Excess Profit</t>
  </si>
  <si>
    <t>Recoup. %</t>
  </si>
  <si>
    <t>Recoupment</t>
  </si>
  <si>
    <t>Calcs</t>
  </si>
  <si>
    <t>&lt;=2%</t>
  </si>
  <si>
    <t>Excess Loss</t>
  </si>
  <si>
    <t>Reimburse</t>
  </si>
  <si>
    <t>PPC Capitation</t>
  </si>
  <si>
    <t>AGE &lt;1</t>
  </si>
  <si>
    <t>AGE 1-20</t>
  </si>
  <si>
    <t>AGE 21+</t>
  </si>
  <si>
    <t>DUALS</t>
  </si>
  <si>
    <t>SSI WITHOUT MEDICARE</t>
  </si>
  <si>
    <t>KIDSCARE</t>
  </si>
  <si>
    <t>OTHER ADJUSTMENTS</t>
  </si>
  <si>
    <t>SETTLEMENT</t>
  </si>
  <si>
    <t>SMI (ACC-RBHA Only)</t>
  </si>
  <si>
    <t>Crisis (ACC-RBHA Only)</t>
  </si>
  <si>
    <t>PROP 204 CHILDLESS ADULTS</t>
  </si>
  <si>
    <t>EXPANSION ADULTS</t>
  </si>
  <si>
    <t xml:space="preserve">   Reinsurance</t>
  </si>
  <si>
    <t>Medical Revenue</t>
  </si>
  <si>
    <t>Medical Revenue Sources</t>
  </si>
  <si>
    <t>Reinsurance</t>
  </si>
  <si>
    <t>Medical Expense Sources</t>
  </si>
  <si>
    <t>Fully Adjudicated and Approved Encounters</t>
  </si>
  <si>
    <t>Medical Expense</t>
  </si>
  <si>
    <t>Encounter Completion</t>
  </si>
  <si>
    <t>Profit/(Loss) % of Medical Revenue</t>
  </si>
  <si>
    <t>Amount due to (From) Contractor</t>
  </si>
  <si>
    <t>Other Adjustments</t>
  </si>
  <si>
    <t>Premium Tax</t>
  </si>
  <si>
    <t>Net amount due to (from) Contractor</t>
  </si>
  <si>
    <t>Recon amount due to/from calculation</t>
  </si>
  <si>
    <t>Assumptions:</t>
  </si>
  <si>
    <t>Profit</t>
  </si>
  <si>
    <t>By Band</t>
  </si>
  <si>
    <t xml:space="preserve"> x &gt; 7%</t>
  </si>
  <si>
    <t>2% &lt; x &lt;= 4%</t>
  </si>
  <si>
    <t>&lt;= 2%</t>
  </si>
  <si>
    <t>Loss</t>
  </si>
  <si>
    <t>&lt;= 1%</t>
  </si>
  <si>
    <t>2% &lt; x &lt;= 3%</t>
  </si>
  <si>
    <t>3% &lt; x &lt;= 4%</t>
  </si>
  <si>
    <t>&gt; 4%</t>
  </si>
  <si>
    <t>4% &lt; x &lt;= 7%</t>
  </si>
  <si>
    <t>Plus: Medical Sub-Capitated/Block Purchase Expense</t>
  </si>
  <si>
    <t>1% &lt; x &lt;= 2%</t>
  </si>
  <si>
    <t xml:space="preserve">2) Medical Expenses include all Prospective and PPC  fully adjudicated and approved encounters for dates of service within the reconciliation time frame. </t>
  </si>
  <si>
    <t xml:space="preserve">4) Medical Sub-Capitated/Block Purchase Expenses are self reported medical amounts from Quarterly Financial statements or final audits. </t>
  </si>
  <si>
    <t>5) All encounters with CN 1 code of 05 with an amount greater than $0 have been excluded from this reconciliation.</t>
  </si>
  <si>
    <t xml:space="preserve">3) The Administrative Component will be the administrative Per Member Per Month (PMPM) amount built into the cap rates multiplied by the actual member months. </t>
  </si>
  <si>
    <t>Provision for Health Care Quality Improvement (HCQI) Activities</t>
  </si>
  <si>
    <t>1) Medical Revenue includes Prospective and Prior Period Coverage (PPC) Capitation, Delivery Supplemental Payments, and Reinsurance Payments for dates of service within the reconciliation time frame.</t>
  </si>
  <si>
    <t>Settlement</t>
  </si>
  <si>
    <t xml:space="preserve"> Encounter Completion</t>
  </si>
  <si>
    <t>2% &lt; x &lt;=  4%</t>
  </si>
  <si>
    <t>4% &lt; x &lt;= 7</t>
  </si>
  <si>
    <r>
      <t xml:space="preserve"> x &gt;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7%</t>
    </r>
  </si>
  <si>
    <t xml:space="preserve">2) Medical Expenses include all Prospective and PPC fully adjudicated and approved  encounters for dates of service within the reconciliation time frame.  </t>
  </si>
  <si>
    <t xml:space="preserve">4) Medical Sub-Capitated/Block Purchase expenses are self reported medical amounts from Quarterly Financial statements or final audits. </t>
  </si>
  <si>
    <t>Amount Due to (From) Contractor</t>
  </si>
  <si>
    <t xml:space="preserve"> Profit</t>
  </si>
  <si>
    <t>Expense Completion</t>
  </si>
  <si>
    <t xml:space="preserve"> Other adjustments</t>
  </si>
  <si>
    <t xml:space="preserve"> Net amount due to (from) Contractor</t>
  </si>
  <si>
    <t xml:space="preserve"> Recon amount due to/from calculation</t>
  </si>
  <si>
    <t>&lt;=1%</t>
  </si>
  <si>
    <r>
      <t xml:space="preserve">Profit/(Loss) to be Reconciled  </t>
    </r>
    <r>
      <rPr>
        <sz val="11"/>
        <color theme="0"/>
        <rFont val="Calibri"/>
        <family val="2"/>
        <scheme val="minor"/>
      </rPr>
      <t>= (Medical Revenue-Medical Expense-Provision for HCQI Activities)</t>
    </r>
  </si>
  <si>
    <r>
      <t>1)</t>
    </r>
    <r>
      <rPr>
        <strike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Medical Revenue includes Prospective and Prior Period Coverage (PPC) Capitation,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Delivery Supplemental Payments, and Reinsurance Payments  for dates of service within the reconciliation time frame.</t>
    </r>
  </si>
  <si>
    <t>1) Medical Revenue includes Prospective and Prior Period Coverage (PPC) Capitation, Delivery Supplemental Payments, and Reinsurance Payments  for dates of service within the reconciliation time frame.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</si>
</sst>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  <numFmt numFmtId="165" formatCode="_(* #,##0_);_(* \(#,##0\);_(* &quot;-&quot;??_);_(@_)"/>
    <numFmt numFmtId="166" formatCode="_(&quot;$&quot;* #,##0.000_);_(&quot;$&quot;* \(#,##0.000\);_(&quot;$&quot;* &quot;-&quot;??_);_(@_)"/>
    <numFmt numFmtId="167" formatCode="_(&quot;$&quot;* #,##0.0000000_);_(&quot;$&quot;* \(#,##0.0000000\);_(&quot;$&quot;* &quot;-&quot;??_);_(@_)"/>
    <numFmt numFmtId="168" formatCode="_(&quot;$&quot;* #,##0_);_(&quot;$&quot;* \(#,##0\);_(&quot;$&quot;* &quot;-&quot;??_);_(@_)"/>
    <numFmt numFmtId="169" formatCode="&quot;$&quot;#,##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trike/>
      <sz val="11"/>
      <color theme="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5" fillId="0" borderId="1" xfId="0" quotePrefix="1" applyFont="1" applyBorder="1" applyAlignment="1">
      <alignment horizontal="left"/>
    </xf>
    <xf numFmtId="0" fontId="5" fillId="0" borderId="0" xfId="0" applyFont="1"/>
    <xf numFmtId="0" fontId="5" fillId="0" borderId="2" xfId="0" applyFont="1" applyBorder="1"/>
    <xf numFmtId="0" fontId="5" fillId="0" borderId="1" xfId="0" applyFont="1" applyBorder="1"/>
    <xf numFmtId="0" fontId="3" fillId="0" borderId="0" xfId="0" applyFont="1"/>
    <xf numFmtId="0" fontId="3" fillId="0" borderId="2" xfId="0" applyFont="1" applyBorder="1"/>
    <xf numFmtId="0" fontId="5" fillId="0" borderId="3" xfId="0" quotePrefix="1" applyFont="1" applyBorder="1" applyAlignment="1">
      <alignment horizontal="left" vertical="top"/>
    </xf>
    <xf numFmtId="0" fontId="5" fillId="0" borderId="4" xfId="0" applyFont="1" applyBorder="1"/>
    <xf numFmtId="0" fontId="5" fillId="0" borderId="5" xfId="0" applyFont="1" applyBorder="1"/>
    <xf numFmtId="0" fontId="4" fillId="0" borderId="0" xfId="0" applyFont="1"/>
    <xf numFmtId="44" fontId="5" fillId="0" borderId="0" xfId="0" applyNumberFormat="1" applyFont="1"/>
    <xf numFmtId="0" fontId="10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0" xfId="0" quotePrefix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44" fontId="8" fillId="2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44" fontId="8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/>
    <xf numFmtId="44" fontId="5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wrapText="1"/>
    </xf>
    <xf numFmtId="0" fontId="4" fillId="0" borderId="7" xfId="0" applyFont="1" applyBorder="1"/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 indent="1"/>
    </xf>
    <xf numFmtId="44" fontId="5" fillId="0" borderId="7" xfId="0" applyNumberFormat="1" applyFont="1" applyBorder="1"/>
    <xf numFmtId="44" fontId="4" fillId="0" borderId="7" xfId="0" applyNumberFormat="1" applyFont="1" applyBorder="1"/>
    <xf numFmtId="10" fontId="4" fillId="0" borderId="7" xfId="3" applyNumberFormat="1" applyFont="1" applyBorder="1"/>
    <xf numFmtId="0" fontId="5" fillId="0" borderId="7" xfId="0" applyFont="1" applyBorder="1"/>
    <xf numFmtId="165" fontId="5" fillId="0" borderId="7" xfId="3" applyNumberFormat="1" applyFont="1" applyBorder="1"/>
    <xf numFmtId="10" fontId="5" fillId="0" borderId="7" xfId="3" applyNumberFormat="1" applyFont="1" applyBorder="1"/>
    <xf numFmtId="44" fontId="5" fillId="0" borderId="7" xfId="3" applyNumberFormat="1" applyFont="1" applyBorder="1"/>
    <xf numFmtId="0" fontId="6" fillId="0" borderId="7" xfId="0" applyFont="1" applyBorder="1"/>
    <xf numFmtId="7" fontId="5" fillId="0" borderId="7" xfId="4" applyNumberFormat="1" applyFont="1" applyBorder="1"/>
    <xf numFmtId="43" fontId="5" fillId="0" borderId="7" xfId="0" applyNumberFormat="1" applyFont="1" applyBorder="1"/>
    <xf numFmtId="44" fontId="5" fillId="0" borderId="8" xfId="2" applyFont="1" applyBorder="1"/>
    <xf numFmtId="10" fontId="5" fillId="0" borderId="8" xfId="3" applyNumberFormat="1" applyFont="1" applyBorder="1"/>
    <xf numFmtId="0" fontId="5" fillId="0" borderId="8" xfId="0" applyFont="1" applyBorder="1"/>
    <xf numFmtId="0" fontId="5" fillId="0" borderId="8" xfId="0" applyFont="1" applyBorder="1" applyAlignment="1">
      <alignment horizontal="left"/>
    </xf>
    <xf numFmtId="0" fontId="5" fillId="0" borderId="7" xfId="0" applyFont="1" applyBorder="1" applyAlignment="1">
      <alignment wrapText="1"/>
    </xf>
    <xf numFmtId="165" fontId="5" fillId="0" borderId="7" xfId="1" applyNumberFormat="1" applyFont="1" applyBorder="1"/>
    <xf numFmtId="166" fontId="5" fillId="0" borderId="7" xfId="2" applyNumberFormat="1" applyFont="1" applyBorder="1"/>
    <xf numFmtId="0" fontId="5" fillId="2" borderId="9" xfId="0" applyFont="1" applyFill="1" applyBorder="1"/>
    <xf numFmtId="0" fontId="8" fillId="2" borderId="7" xfId="0" applyFont="1" applyFill="1" applyBorder="1"/>
    <xf numFmtId="166" fontId="5" fillId="0" borderId="7" xfId="0" applyNumberFormat="1" applyFont="1" applyBorder="1"/>
    <xf numFmtId="0" fontId="4" fillId="0" borderId="7" xfId="0" applyFont="1" applyBorder="1" applyAlignment="1">
      <alignment wrapText="1"/>
    </xf>
    <xf numFmtId="167" fontId="5" fillId="0" borderId="7" xfId="0" applyNumberFormat="1" applyFont="1" applyBorder="1"/>
    <xf numFmtId="0" fontId="5" fillId="0" borderId="7" xfId="0" applyFont="1" applyBorder="1" applyAlignment="1">
      <alignment horizontal="center"/>
    </xf>
    <xf numFmtId="168" fontId="5" fillId="0" borderId="7" xfId="0" applyNumberFormat="1" applyFont="1" applyBorder="1"/>
    <xf numFmtId="168" fontId="5" fillId="0" borderId="7" xfId="2" applyNumberFormat="1" applyFont="1" applyBorder="1"/>
    <xf numFmtId="0" fontId="5" fillId="0" borderId="8" xfId="0" applyFont="1" applyBorder="1" applyAlignment="1">
      <alignment horizontal="center"/>
    </xf>
    <xf numFmtId="168" fontId="5" fillId="0" borderId="8" xfId="0" applyNumberFormat="1" applyFont="1" applyBorder="1"/>
    <xf numFmtId="168" fontId="5" fillId="0" borderId="8" xfId="2" applyNumberFormat="1" applyFont="1" applyBorder="1"/>
    <xf numFmtId="9" fontId="5" fillId="0" borderId="7" xfId="3" applyFont="1" applyBorder="1"/>
    <xf numFmtId="9" fontId="5" fillId="0" borderId="7" xfId="0" applyNumberFormat="1" applyFont="1" applyBorder="1"/>
    <xf numFmtId="169" fontId="5" fillId="0" borderId="7" xfId="2" applyNumberFormat="1" applyFont="1" applyBorder="1" applyAlignment="1">
      <alignment horizontal="center"/>
    </xf>
    <xf numFmtId="0" fontId="8" fillId="2" borderId="9" xfId="0" applyFont="1" applyFill="1" applyBorder="1"/>
    <xf numFmtId="0" fontId="4" fillId="0" borderId="1" xfId="0" applyFont="1" applyBorder="1"/>
    <xf numFmtId="9" fontId="5" fillId="0" borderId="7" xfId="0" quotePrefix="1" applyNumberFormat="1" applyFont="1" applyBorder="1"/>
    <xf numFmtId="49" fontId="5" fillId="0" borderId="7" xfId="0" quotePrefix="1" applyNumberFormat="1" applyFont="1" applyBorder="1"/>
    <xf numFmtId="0" fontId="5" fillId="0" borderId="7" xfId="0" quotePrefix="1" applyFont="1" applyBorder="1" applyAlignment="1">
      <alignment horizontal="left"/>
    </xf>
    <xf numFmtId="0" fontId="3" fillId="0" borderId="7" xfId="0" applyFont="1" applyBorder="1"/>
    <xf numFmtId="0" fontId="4" fillId="0" borderId="7" xfId="0" quotePrefix="1" applyFont="1" applyBorder="1" applyAlignment="1">
      <alignment horizontal="center"/>
    </xf>
    <xf numFmtId="164" fontId="4" fillId="0" borderId="7" xfId="0" quotePrefix="1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0" fontId="4" fillId="0" borderId="7" xfId="3" applyNumberFormat="1" applyFont="1" applyFill="1" applyBorder="1"/>
    <xf numFmtId="165" fontId="5" fillId="0" borderId="7" xfId="3" applyNumberFormat="1" applyFont="1" applyFill="1" applyBorder="1"/>
    <xf numFmtId="10" fontId="5" fillId="0" borderId="7" xfId="3" applyNumberFormat="1" applyFont="1" applyFill="1" applyBorder="1"/>
    <xf numFmtId="44" fontId="5" fillId="0" borderId="7" xfId="3" applyNumberFormat="1" applyFont="1" applyFill="1" applyBorder="1"/>
    <xf numFmtId="7" fontId="5" fillId="0" borderId="7" xfId="4" applyNumberFormat="1" applyFont="1" applyFill="1" applyBorder="1"/>
    <xf numFmtId="44" fontId="7" fillId="0" borderId="7" xfId="3" applyNumberFormat="1" applyFont="1" applyFill="1" applyBorder="1"/>
    <xf numFmtId="0" fontId="5" fillId="0" borderId="6" xfId="0" applyFont="1" applyBorder="1"/>
    <xf numFmtId="0" fontId="5" fillId="0" borderId="10" xfId="0" applyFont="1" applyBorder="1"/>
    <xf numFmtId="44" fontId="5" fillId="0" borderId="10" xfId="0" applyNumberFormat="1" applyFont="1" applyBorder="1"/>
    <xf numFmtId="44" fontId="5" fillId="0" borderId="11" xfId="0" applyNumberFormat="1" applyFont="1" applyBorder="1"/>
    <xf numFmtId="44" fontId="5" fillId="0" borderId="7" xfId="2" applyFont="1" applyFill="1" applyBorder="1"/>
    <xf numFmtId="165" fontId="5" fillId="0" borderId="7" xfId="1" applyNumberFormat="1" applyFont="1" applyFill="1" applyBorder="1"/>
    <xf numFmtId="166" fontId="5" fillId="0" borderId="7" xfId="2" applyNumberFormat="1" applyFont="1" applyFill="1" applyBorder="1"/>
    <xf numFmtId="168" fontId="5" fillId="0" borderId="7" xfId="2" applyNumberFormat="1" applyFont="1" applyFill="1" applyBorder="1"/>
    <xf numFmtId="9" fontId="5" fillId="0" borderId="7" xfId="3" applyFont="1" applyFill="1" applyBorder="1"/>
    <xf numFmtId="169" fontId="5" fillId="0" borderId="7" xfId="2" applyNumberFormat="1" applyFont="1" applyFill="1" applyBorder="1" applyAlignment="1">
      <alignment horizontal="center"/>
    </xf>
    <xf numFmtId="0" fontId="4" fillId="0" borderId="8" xfId="0" applyFont="1" applyBorder="1"/>
    <xf numFmtId="0" fontId="5" fillId="0" borderId="6" xfId="0" quotePrefix="1" applyFont="1" applyBorder="1" applyAlignment="1">
      <alignment horizontal="left"/>
    </xf>
    <xf numFmtId="0" fontId="5" fillId="0" borderId="11" xfId="0" applyFont="1" applyBorder="1"/>
    <xf numFmtId="0" fontId="5" fillId="0" borderId="9" xfId="0" applyFont="1" applyBorder="1"/>
    <xf numFmtId="0" fontId="5" fillId="0" borderId="12" xfId="0" applyFont="1" applyBorder="1"/>
    <xf numFmtId="0" fontId="3" fillId="0" borderId="12" xfId="0" applyFont="1" applyBorder="1"/>
    <xf numFmtId="0" fontId="5" fillId="0" borderId="13" xfId="0" quotePrefix="1" applyFont="1" applyBorder="1" applyAlignment="1">
      <alignment horizontal="left" vertical="top"/>
    </xf>
    <xf numFmtId="0" fontId="5" fillId="0" borderId="14" xfId="0" applyFont="1" applyBorder="1"/>
    <xf numFmtId="0" fontId="5" fillId="0" borderId="15" xfId="0" applyFont="1" applyBorder="1"/>
  </cellXfs>
  <cellStyles count="8">
    <cellStyle name="Comma" xfId="1" builtinId="3"/>
    <cellStyle name="Comma 2" xfId="4" xr:uid="{00000000-0005-0000-0000-000001000000}"/>
    <cellStyle name="Currency" xfId="2" builtinId="4"/>
    <cellStyle name="Currency 2" xfId="5" xr:uid="{00000000-0005-0000-0000-000003000000}"/>
    <cellStyle name="Normal" xfId="0" builtinId="0"/>
    <cellStyle name="Normal 2" xfId="6" xr:uid="{00000000-0005-0000-0000-000005000000}"/>
    <cellStyle name="Percent" xfId="3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369992"/>
      <color rgb="FFCC6C20"/>
      <color rgb="FF2F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ctuarial/Acute/CY12%20Cap%20Development/Cognos/Recons/2010/ProsRecon2010%20w%20Upd%20RI%20and%20Admin%20@%20bid%20Dynamic%20TX%20Model%20Rev%2007-14-11.xls" TargetMode="External"/><Relationship Id="rId1" Type="http://schemas.openxmlformats.org/officeDocument/2006/relationships/externalLinkPath" Target="/Actuarial/Acute/CY12%20Cap%20Development/Cognos/Recons/2010/ProsRecon2010%20w%20Upd%20RI%20and%20Admin%20@%20bid%20Dynamic%20TX%20Model%20Rev%2007-14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Inputs"/>
      <sheetName val="Condensed Summary"/>
      <sheetName val="Admin %"/>
      <sheetName val="Overall Summary"/>
      <sheetName val="APIPASummary"/>
      <sheetName val="APIPADetail"/>
      <sheetName val="Care1stSummary"/>
      <sheetName val="Care1stDetail"/>
      <sheetName val="BridgewaySummary"/>
      <sheetName val="BridgewayDetail"/>
      <sheetName val="HCASummary"/>
      <sheetName val="HCADetail"/>
      <sheetName val="MaricopaSummary"/>
      <sheetName val="MaricopaDetail"/>
      <sheetName val="MercySummary"/>
      <sheetName val="MercyDetail"/>
      <sheetName val="PHPSummary"/>
      <sheetName val="PHPDetail"/>
      <sheetName val="PimaSummary"/>
      <sheetName val="PimaDetail"/>
      <sheetName val="UFCSummary"/>
      <sheetName val="UFCDetail"/>
    </sheetNames>
    <sheetDataSet>
      <sheetData sheetId="0" refreshError="1"/>
      <sheetData sheetId="1" refreshError="1">
        <row r="4">
          <cell r="B4">
            <v>0.02</v>
          </cell>
        </row>
        <row r="6">
          <cell r="B6" t="str">
            <v>yes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ks, Windy" id="{12D78118-082E-4C7F-BB9A-7AE5851B6311}" userId="S::windy.marks@azahcccs.gov::d31ced8b-5291-4671-827c-e877c68116d2" providerId="AD"/>
  <person displayName="Walton, Amanda" id="{1676E293-BFD7-49A8-8E20-C062894253C0}" userId="S::Amanda.Walton@azahcccs.gov::d5a6391d-295f-4a17-ab90-489a4b8aded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8" dT="2025-03-25T20:29:25.82" personId="{12D78118-082E-4C7F-BB9A-7AE5851B6311}" id="{22BB3B04-1758-4D9D-8383-ECB5DC72ED9F}" done="1">
    <text>I think this should have the same formatting as ‘Reconciliation Template’ since this is supposed to be that template with numbers to show an example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8" dT="2025-03-25T20:29:40.63" personId="{12D78118-082E-4C7F-BB9A-7AE5851B6311}" id="{4B3A37B4-ACAE-4A8D-9C00-59B24E929BA9}" done="1">
    <text>I think this should have the same formatting as ‘Reconciliation Template’ since this is supposed to be that template with numbers to show an example</text>
  </threadedComment>
  <threadedComment ref="A28" dT="2025-04-02T18:00:23.17" personId="{1676E293-BFD7-49A8-8E20-C062894253C0}" id="{C6FEE6C0-D0A6-453F-BFE3-53012A1EEB96}" parentId="{4B3A37B4-ACAE-4A8D-9C00-59B24E929BA9}">
    <text>Resolved and reformatted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FB01-DE5D-4D3C-9548-80C1D43ACF1E}">
  <sheetPr>
    <pageSetUpPr fitToPage="1"/>
  </sheetPr>
  <dimension ref="A1:P70"/>
  <sheetViews>
    <sheetView tabSelected="1" view="pageLayout" zoomScaleNormal="110" workbookViewId="0">
      <selection activeCell="E71" sqref="E71"/>
    </sheetView>
  </sheetViews>
  <sheetFormatPr defaultColWidth="9.140625" defaultRowHeight="15" x14ac:dyDescent="0.25"/>
  <cols>
    <col min="1" max="1" width="58.85546875" style="2" customWidth="1"/>
    <col min="2" max="2" width="29.7109375" style="2" customWidth="1"/>
    <col min="3" max="3" width="27.7109375" style="2" customWidth="1"/>
    <col min="4" max="4" width="29.42578125" style="2" customWidth="1"/>
    <col min="5" max="5" width="24.42578125" style="2" customWidth="1"/>
    <col min="6" max="6" width="25.7109375" style="2" customWidth="1"/>
    <col min="7" max="7" width="25.28515625" style="2" customWidth="1"/>
    <col min="8" max="8" width="22.85546875" style="2" bestFit="1" customWidth="1"/>
    <col min="9" max="9" width="22" style="2" bestFit="1" customWidth="1"/>
    <col min="10" max="10" width="23.5703125" style="2" bestFit="1" customWidth="1"/>
    <col min="11" max="11" width="22" style="2" bestFit="1" customWidth="1"/>
    <col min="12" max="12" width="19.42578125" style="2" customWidth="1"/>
    <col min="13" max="13" width="30.28515625" style="2" customWidth="1"/>
    <col min="14" max="14" width="20.140625" style="2" bestFit="1" customWidth="1"/>
    <col min="15" max="15" width="12.85546875" style="2" bestFit="1" customWidth="1"/>
    <col min="16" max="16" width="10.7109375" style="2" bestFit="1" customWidth="1"/>
    <col min="17" max="16384" width="9.140625" style="2"/>
  </cols>
  <sheetData>
    <row r="1" spans="1:16" ht="36.75" customHeight="1" x14ac:dyDescent="0.25">
      <c r="A1" s="12"/>
      <c r="B1" s="13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5" t="s">
        <v>21</v>
      </c>
      <c r="H1" s="15" t="s">
        <v>26</v>
      </c>
      <c r="I1" s="15" t="s">
        <v>27</v>
      </c>
      <c r="J1" s="15" t="s">
        <v>24</v>
      </c>
      <c r="K1" s="15" t="s">
        <v>25</v>
      </c>
      <c r="L1" s="15" t="s">
        <v>22</v>
      </c>
      <c r="M1" s="13" t="s">
        <v>0</v>
      </c>
    </row>
    <row r="2" spans="1:16" x14ac:dyDescent="0.25">
      <c r="A2" s="27"/>
      <c r="B2" s="28"/>
      <c r="C2" s="28"/>
      <c r="D2" s="29"/>
      <c r="E2" s="29"/>
      <c r="F2" s="28"/>
      <c r="G2" s="28"/>
      <c r="H2" s="28"/>
      <c r="I2" s="28"/>
      <c r="J2" s="28"/>
      <c r="K2" s="28"/>
      <c r="L2" s="28"/>
      <c r="M2" s="28"/>
    </row>
    <row r="3" spans="1:16" x14ac:dyDescent="0.25">
      <c r="A3" s="27" t="s">
        <v>30</v>
      </c>
      <c r="B3" s="28"/>
      <c r="C3" s="28"/>
      <c r="D3" s="29"/>
      <c r="E3" s="29"/>
      <c r="F3" s="28"/>
      <c r="G3" s="28"/>
      <c r="H3" s="28"/>
      <c r="I3" s="28"/>
      <c r="J3" s="28"/>
      <c r="K3" s="28"/>
      <c r="L3" s="28"/>
      <c r="M3" s="28"/>
    </row>
    <row r="4" spans="1:16" x14ac:dyDescent="0.25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>
        <f>+SUM(B4:L4)</f>
        <v>0</v>
      </c>
    </row>
    <row r="5" spans="1:16" x14ac:dyDescent="0.25">
      <c r="A5" s="30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>
        <f>+SUM(B5:L5)</f>
        <v>0</v>
      </c>
    </row>
    <row r="6" spans="1:16" x14ac:dyDescent="0.25">
      <c r="A6" s="30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>
        <f>+SUM(B6:L6)</f>
        <v>0</v>
      </c>
    </row>
    <row r="7" spans="1:16" x14ac:dyDescent="0.25">
      <c r="A7" s="30" t="s">
        <v>31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>
        <f>+SUM(B7:L7)</f>
        <v>0</v>
      </c>
    </row>
    <row r="8" spans="1:16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>
        <f>+SUM(B8:L8)</f>
        <v>0</v>
      </c>
      <c r="N8" s="11"/>
      <c r="O8" s="11"/>
      <c r="P8" s="11"/>
    </row>
    <row r="9" spans="1:16" x14ac:dyDescent="0.25">
      <c r="A9" s="30" t="s">
        <v>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>
        <f>SUM(B9:L9)</f>
        <v>0</v>
      </c>
      <c r="O9" s="11"/>
    </row>
    <row r="10" spans="1:16" x14ac:dyDescent="0.25">
      <c r="A10" s="27" t="s">
        <v>29</v>
      </c>
      <c r="B10" s="32">
        <f t="shared" ref="B10:M10" si="0">SUM(B4:B6,B7)-B8-B9</f>
        <v>0</v>
      </c>
      <c r="C10" s="32">
        <f t="shared" si="0"/>
        <v>0</v>
      </c>
      <c r="D10" s="32">
        <f t="shared" si="0"/>
        <v>0</v>
      </c>
      <c r="E10" s="32">
        <f t="shared" si="0"/>
        <v>0</v>
      </c>
      <c r="F10" s="32">
        <f t="shared" si="0"/>
        <v>0</v>
      </c>
      <c r="G10" s="32">
        <f t="shared" si="0"/>
        <v>0</v>
      </c>
      <c r="H10" s="32">
        <f t="shared" si="0"/>
        <v>0</v>
      </c>
      <c r="I10" s="32">
        <f t="shared" si="0"/>
        <v>0</v>
      </c>
      <c r="J10" s="32">
        <f t="shared" si="0"/>
        <v>0</v>
      </c>
      <c r="K10" s="32">
        <f t="shared" si="0"/>
        <v>0</v>
      </c>
      <c r="L10" s="32">
        <f t="shared" si="0"/>
        <v>0</v>
      </c>
      <c r="M10" s="32">
        <f t="shared" si="0"/>
        <v>0</v>
      </c>
    </row>
    <row r="11" spans="1:16" x14ac:dyDescent="0.25">
      <c r="A11" s="27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6" x14ac:dyDescent="0.25">
      <c r="A12" s="27" t="s">
        <v>32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x14ac:dyDescent="0.25">
      <c r="A13" s="30" t="s">
        <v>33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>
        <f>+SUM(B13:L13)</f>
        <v>0</v>
      </c>
      <c r="O13" s="11"/>
    </row>
    <row r="14" spans="1:16" x14ac:dyDescent="0.25">
      <c r="A14" s="30" t="s">
        <v>35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>
        <f>+SUM(B14:L14)</f>
        <v>0</v>
      </c>
      <c r="O14" s="11"/>
    </row>
    <row r="15" spans="1:16" x14ac:dyDescent="0.25">
      <c r="A15" s="30" t="s">
        <v>54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>
        <f>+SUM(B15:L15)</f>
        <v>0</v>
      </c>
    </row>
    <row r="16" spans="1:16" x14ac:dyDescent="0.25">
      <c r="A16" s="30" t="s">
        <v>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>
        <f>+SUM(B16:L16)</f>
        <v>0</v>
      </c>
    </row>
    <row r="17" spans="1:14" x14ac:dyDescent="0.25">
      <c r="A17" s="27" t="s">
        <v>34</v>
      </c>
      <c r="B17" s="32">
        <f t="shared" ref="B17:M17" si="1">SUM(B13:B15)-B16</f>
        <v>0</v>
      </c>
      <c r="C17" s="32">
        <f t="shared" si="1"/>
        <v>0</v>
      </c>
      <c r="D17" s="32">
        <f t="shared" si="1"/>
        <v>0</v>
      </c>
      <c r="E17" s="32">
        <f t="shared" si="1"/>
        <v>0</v>
      </c>
      <c r="F17" s="32">
        <f t="shared" si="1"/>
        <v>0</v>
      </c>
      <c r="G17" s="32">
        <f t="shared" si="1"/>
        <v>0</v>
      </c>
      <c r="H17" s="32">
        <f t="shared" si="1"/>
        <v>0</v>
      </c>
      <c r="I17" s="32">
        <f t="shared" si="1"/>
        <v>0</v>
      </c>
      <c r="J17" s="32">
        <f t="shared" si="1"/>
        <v>0</v>
      </c>
      <c r="K17" s="32">
        <f t="shared" si="1"/>
        <v>0</v>
      </c>
      <c r="L17" s="32">
        <f t="shared" si="1"/>
        <v>0</v>
      </c>
      <c r="M17" s="32">
        <f t="shared" si="1"/>
        <v>0</v>
      </c>
      <c r="N17" s="11"/>
    </row>
    <row r="18" spans="1:14" x14ac:dyDescent="0.25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4" s="10" customFormat="1" x14ac:dyDescent="0.25">
      <c r="A19" s="27" t="s">
        <v>60</v>
      </c>
      <c r="B19" s="32">
        <f t="shared" ref="B19:J19" si="2">B17*0.01</f>
        <v>0</v>
      </c>
      <c r="C19" s="32">
        <f t="shared" si="2"/>
        <v>0</v>
      </c>
      <c r="D19" s="32">
        <f t="shared" si="2"/>
        <v>0</v>
      </c>
      <c r="E19" s="32">
        <f t="shared" si="2"/>
        <v>0</v>
      </c>
      <c r="F19" s="32">
        <f t="shared" si="2"/>
        <v>0</v>
      </c>
      <c r="G19" s="32">
        <f t="shared" si="2"/>
        <v>0</v>
      </c>
      <c r="H19" s="32">
        <f t="shared" si="2"/>
        <v>0</v>
      </c>
      <c r="I19" s="32">
        <f t="shared" si="2"/>
        <v>0</v>
      </c>
      <c r="J19" s="32">
        <f t="shared" si="2"/>
        <v>0</v>
      </c>
      <c r="K19" s="32">
        <v>0</v>
      </c>
      <c r="L19" s="32">
        <f>L17*0.01</f>
        <v>0</v>
      </c>
      <c r="M19" s="32">
        <f>+SUM(B19:L19)</f>
        <v>0</v>
      </c>
    </row>
    <row r="20" spans="1:14" x14ac:dyDescent="0.25">
      <c r="A20" s="27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4" ht="30" x14ac:dyDescent="0.25">
      <c r="A21" s="16" t="s">
        <v>76</v>
      </c>
      <c r="B21" s="17">
        <f t="shared" ref="B21:M21" si="3">B10-B17-B19</f>
        <v>0</v>
      </c>
      <c r="C21" s="17">
        <f t="shared" si="3"/>
        <v>0</v>
      </c>
      <c r="D21" s="17">
        <f t="shared" si="3"/>
        <v>0</v>
      </c>
      <c r="E21" s="17">
        <f t="shared" si="3"/>
        <v>0</v>
      </c>
      <c r="F21" s="17">
        <f t="shared" si="3"/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17">
        <f t="shared" si="3"/>
        <v>0</v>
      </c>
    </row>
    <row r="22" spans="1:14" s="10" customFormat="1" x14ac:dyDescent="0.25">
      <c r="A22" s="27" t="s">
        <v>36</v>
      </c>
      <c r="B22" s="33">
        <f t="shared" ref="B22:M22" si="4">IF(B10=0,0,B21/B10)</f>
        <v>0</v>
      </c>
      <c r="C22" s="33">
        <f t="shared" si="4"/>
        <v>0</v>
      </c>
      <c r="D22" s="33">
        <f t="shared" si="4"/>
        <v>0</v>
      </c>
      <c r="E22" s="33">
        <f t="shared" si="4"/>
        <v>0</v>
      </c>
      <c r="F22" s="33">
        <f t="shared" si="4"/>
        <v>0</v>
      </c>
      <c r="G22" s="33">
        <f t="shared" si="4"/>
        <v>0</v>
      </c>
      <c r="H22" s="33">
        <f t="shared" si="4"/>
        <v>0</v>
      </c>
      <c r="I22" s="33">
        <f t="shared" si="4"/>
        <v>0</v>
      </c>
      <c r="J22" s="33">
        <f t="shared" si="4"/>
        <v>0</v>
      </c>
      <c r="K22" s="33">
        <f t="shared" si="4"/>
        <v>0</v>
      </c>
      <c r="L22" s="33">
        <f t="shared" si="4"/>
        <v>0</v>
      </c>
      <c r="M22" s="33">
        <f t="shared" si="4"/>
        <v>0</v>
      </c>
    </row>
    <row r="23" spans="1:14" x14ac:dyDescent="0.25">
      <c r="A23" s="34" t="s">
        <v>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>
        <f>+SUM(B23:J23)</f>
        <v>0</v>
      </c>
    </row>
    <row r="24" spans="1:14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4" x14ac:dyDescent="0.25">
      <c r="A25" s="27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7"/>
    </row>
    <row r="26" spans="1:14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6"/>
      <c r="M26" s="37"/>
    </row>
    <row r="27" spans="1:14" x14ac:dyDescent="0.25">
      <c r="A27" s="27"/>
      <c r="B27" s="34"/>
      <c r="C27" s="40"/>
      <c r="D27" s="34"/>
      <c r="E27" s="34"/>
      <c r="F27" s="34"/>
      <c r="G27" s="34"/>
      <c r="H27" s="34"/>
      <c r="I27" s="34"/>
      <c r="J27" s="34"/>
      <c r="K27" s="34"/>
      <c r="L27" s="34"/>
      <c r="M27" s="37"/>
    </row>
    <row r="28" spans="1:14" x14ac:dyDescent="0.25">
      <c r="A28" s="26" t="s">
        <v>23</v>
      </c>
      <c r="B28" s="26"/>
      <c r="C28" s="34"/>
      <c r="D28" s="31"/>
      <c r="E28" s="31"/>
      <c r="F28" s="31"/>
      <c r="G28" s="34"/>
      <c r="H28" s="34"/>
      <c r="I28" s="34"/>
      <c r="J28" s="34"/>
      <c r="K28" s="34"/>
      <c r="L28" s="34"/>
      <c r="M28" s="31"/>
    </row>
    <row r="29" spans="1:14" x14ac:dyDescent="0.25">
      <c r="A29" s="26"/>
      <c r="B29" s="26"/>
      <c r="C29" s="41"/>
      <c r="D29" s="42"/>
      <c r="E29" s="43"/>
      <c r="F29" s="44"/>
      <c r="G29" s="44"/>
      <c r="H29" s="43"/>
      <c r="I29" s="43"/>
      <c r="J29" s="43"/>
      <c r="K29" s="43"/>
      <c r="L29" s="43"/>
      <c r="M29" s="43"/>
    </row>
    <row r="30" spans="1:14" x14ac:dyDescent="0.25">
      <c r="A30" s="45" t="s">
        <v>29</v>
      </c>
      <c r="B30" s="31">
        <f>M10</f>
        <v>0</v>
      </c>
      <c r="C30" s="46"/>
      <c r="D30" s="31"/>
      <c r="E30" s="34"/>
      <c r="F30" s="34"/>
      <c r="G30" s="34"/>
      <c r="H30" s="34"/>
      <c r="I30" s="34"/>
      <c r="J30" s="34"/>
      <c r="K30" s="34"/>
      <c r="L30" s="34"/>
      <c r="M30" s="34"/>
    </row>
    <row r="31" spans="1:14" x14ac:dyDescent="0.25">
      <c r="A31" s="34" t="s">
        <v>7</v>
      </c>
      <c r="B31" s="31">
        <f>M21</f>
        <v>0</v>
      </c>
      <c r="C31" s="31"/>
      <c r="D31" s="31"/>
      <c r="E31" s="34"/>
      <c r="F31" s="34"/>
      <c r="G31" s="34"/>
      <c r="H31" s="34"/>
      <c r="I31" s="34"/>
      <c r="J31" s="34"/>
      <c r="K31" s="34"/>
      <c r="L31" s="34"/>
      <c r="M31" s="34"/>
    </row>
    <row r="32" spans="1:14" x14ac:dyDescent="0.25">
      <c r="A32" s="34" t="s">
        <v>36</v>
      </c>
      <c r="B32" s="36">
        <f>IF(B30=0,0,B31/B30)</f>
        <v>0</v>
      </c>
      <c r="C32" s="31"/>
      <c r="D32" s="31"/>
      <c r="E32" s="31"/>
      <c r="F32" s="34"/>
      <c r="G32" s="34"/>
      <c r="H32" s="34"/>
      <c r="I32" s="34"/>
      <c r="J32" s="34"/>
      <c r="K32" s="34"/>
      <c r="L32" s="34"/>
      <c r="M32" s="34"/>
    </row>
    <row r="33" spans="1:13" x14ac:dyDescent="0.25">
      <c r="A33" s="34"/>
      <c r="B33" s="31"/>
      <c r="C33" s="31"/>
      <c r="D33" s="31"/>
      <c r="E33" s="34"/>
      <c r="F33" s="34"/>
      <c r="G33" s="34"/>
      <c r="H33" s="34"/>
      <c r="I33" s="34"/>
      <c r="J33" s="34"/>
      <c r="K33" s="34"/>
      <c r="L33" s="34"/>
      <c r="M33" s="34"/>
    </row>
    <row r="34" spans="1:13" x14ac:dyDescent="0.25">
      <c r="A34" s="34"/>
      <c r="B34" s="47"/>
      <c r="C34" s="31"/>
      <c r="D34" s="31"/>
      <c r="E34" s="34"/>
      <c r="F34" s="34"/>
      <c r="G34" s="34"/>
      <c r="H34" s="34"/>
      <c r="I34" s="34"/>
      <c r="J34" s="34"/>
      <c r="K34" s="34"/>
      <c r="L34" s="34"/>
      <c r="M34" s="34"/>
    </row>
    <row r="35" spans="1:13" x14ac:dyDescent="0.25">
      <c r="A35" s="34"/>
      <c r="B35" s="34"/>
      <c r="C35" s="34"/>
      <c r="D35" s="31"/>
      <c r="E35" s="31"/>
      <c r="F35" s="34"/>
      <c r="G35" s="34"/>
      <c r="H35" s="34"/>
      <c r="I35" s="34"/>
      <c r="J35" s="34"/>
      <c r="K35" s="34"/>
      <c r="L35" s="34"/>
      <c r="M35" s="34"/>
    </row>
    <row r="36" spans="1:13" x14ac:dyDescent="0.25">
      <c r="A36" s="49" t="s">
        <v>37</v>
      </c>
      <c r="B36" s="31">
        <f>IF(B31&gt;0,-SUM(E45:E48),-SUM(E55:E59))</f>
        <v>0</v>
      </c>
      <c r="C36" s="50"/>
      <c r="D36" s="31"/>
      <c r="E36" s="31"/>
      <c r="F36" s="31"/>
      <c r="G36" s="34"/>
      <c r="H36" s="34"/>
      <c r="I36" s="31"/>
      <c r="J36" s="31"/>
      <c r="K36" s="31"/>
      <c r="L36" s="34"/>
      <c r="M36" s="34"/>
    </row>
    <row r="37" spans="1:13" x14ac:dyDescent="0.25">
      <c r="A37" s="27"/>
      <c r="B37" s="31"/>
      <c r="C37" s="34"/>
      <c r="D37" s="31"/>
      <c r="E37" s="31"/>
      <c r="F37" s="34"/>
      <c r="G37" s="34"/>
      <c r="H37" s="34"/>
      <c r="I37" s="31"/>
      <c r="J37" s="31"/>
      <c r="K37" s="31"/>
      <c r="L37" s="34"/>
      <c r="M37" s="34"/>
    </row>
    <row r="38" spans="1:13" x14ac:dyDescent="0.25">
      <c r="A38" s="49" t="s">
        <v>38</v>
      </c>
      <c r="B38" s="31"/>
      <c r="C38" s="34"/>
      <c r="D38" s="31"/>
      <c r="E38" s="31"/>
      <c r="F38" s="34"/>
      <c r="G38" s="34"/>
      <c r="H38" s="34"/>
      <c r="I38" s="34"/>
      <c r="J38" s="34"/>
      <c r="K38" s="34"/>
      <c r="L38" s="34"/>
      <c r="M38" s="34"/>
    </row>
    <row r="39" spans="1:13" x14ac:dyDescent="0.25">
      <c r="A39" s="51"/>
      <c r="B39" s="31"/>
      <c r="C39" s="34"/>
      <c r="D39" s="31"/>
      <c r="E39" s="31"/>
      <c r="F39" s="34"/>
      <c r="G39" s="34"/>
      <c r="H39" s="34"/>
      <c r="I39" s="34"/>
      <c r="J39" s="34"/>
      <c r="K39" s="34"/>
      <c r="L39" s="34"/>
      <c r="M39" s="34"/>
    </row>
    <row r="40" spans="1:13" x14ac:dyDescent="0.25">
      <c r="A40" s="49" t="s">
        <v>39</v>
      </c>
      <c r="B40" s="31">
        <f>SUM(B36,B38)/0.98-SUM(B36,B38)</f>
        <v>0</v>
      </c>
      <c r="C40" s="52"/>
      <c r="D40" s="31"/>
      <c r="E40" s="34"/>
      <c r="F40" s="34"/>
      <c r="G40" s="34"/>
      <c r="H40" s="34"/>
      <c r="I40" s="34"/>
      <c r="J40" s="34"/>
      <c r="K40" s="34"/>
      <c r="L40" s="34"/>
      <c r="M40" s="34"/>
    </row>
    <row r="41" spans="1:13" x14ac:dyDescent="0.25">
      <c r="A41" s="49" t="s">
        <v>40</v>
      </c>
      <c r="B41" s="31">
        <f>SUM(B36+B38+B40)</f>
        <v>0</v>
      </c>
      <c r="C41" s="34"/>
      <c r="D41" s="34"/>
      <c r="E41" s="34"/>
      <c r="F41" s="53"/>
      <c r="G41" s="53"/>
      <c r="H41" s="34"/>
      <c r="I41" s="34"/>
      <c r="J41" s="34"/>
      <c r="K41" s="34"/>
      <c r="L41" s="34"/>
      <c r="M41" s="34"/>
    </row>
    <row r="42" spans="1:13" x14ac:dyDescent="0.25">
      <c r="A42" s="34"/>
      <c r="B42" s="34"/>
      <c r="C42" s="34"/>
      <c r="D42" s="34"/>
      <c r="E42" s="34"/>
      <c r="F42" s="53"/>
      <c r="G42" s="53"/>
      <c r="H42" s="34"/>
      <c r="I42" s="34"/>
      <c r="J42" s="34"/>
      <c r="K42" s="34"/>
      <c r="L42" s="53"/>
      <c r="M42" s="34"/>
    </row>
    <row r="43" spans="1:13" x14ac:dyDescent="0.25">
      <c r="A43" s="48"/>
      <c r="B43" s="23"/>
      <c r="C43" s="20"/>
      <c r="D43" s="21" t="s">
        <v>43</v>
      </c>
      <c r="E43" s="20"/>
      <c r="F43" s="34"/>
      <c r="G43" s="54"/>
      <c r="H43" s="54"/>
      <c r="I43" s="34"/>
      <c r="J43" s="34"/>
      <c r="K43" s="34"/>
      <c r="L43" s="55"/>
      <c r="M43" s="34"/>
    </row>
    <row r="44" spans="1:13" x14ac:dyDescent="0.25">
      <c r="A44" s="62" t="s">
        <v>41</v>
      </c>
      <c r="B44" s="24" t="s">
        <v>8</v>
      </c>
      <c r="C44" s="21" t="s">
        <v>9</v>
      </c>
      <c r="D44" s="21" t="s">
        <v>44</v>
      </c>
      <c r="E44" s="21" t="s">
        <v>10</v>
      </c>
      <c r="F44" s="43"/>
      <c r="G44" s="56" t="s">
        <v>11</v>
      </c>
      <c r="H44" s="57"/>
      <c r="I44" s="43"/>
      <c r="J44" s="43"/>
      <c r="K44" s="43"/>
      <c r="L44" s="58"/>
      <c r="M44" s="43"/>
    </row>
    <row r="45" spans="1:13" x14ac:dyDescent="0.25">
      <c r="A45" s="34"/>
      <c r="B45" s="60" t="s">
        <v>47</v>
      </c>
      <c r="C45" s="59">
        <v>0</v>
      </c>
      <c r="D45" s="55">
        <f>IF(G45&lt;=0,0,IF($B$30*0.02&gt;G45,G45,$B$30*0.02))</f>
        <v>0</v>
      </c>
      <c r="E45" s="55">
        <f>+C45*D45</f>
        <v>0</v>
      </c>
      <c r="F45" s="34"/>
      <c r="G45" s="54">
        <f>+IF(B31&lt;0,0,B31)</f>
        <v>0</v>
      </c>
      <c r="H45" s="47"/>
      <c r="I45" s="34"/>
      <c r="J45" s="34"/>
      <c r="K45" s="34"/>
      <c r="L45" s="55"/>
      <c r="M45" s="34"/>
    </row>
    <row r="46" spans="1:13" x14ac:dyDescent="0.25">
      <c r="A46" s="34"/>
      <c r="B46" s="60" t="s">
        <v>46</v>
      </c>
      <c r="C46" s="59">
        <v>0.25</v>
      </c>
      <c r="D46" s="55">
        <f>IF(G46&lt;=0,0,IF($B$30*0.02&gt;G46,G46,$B$30*0.02))</f>
        <v>0</v>
      </c>
      <c r="E46" s="55">
        <f>+C46*D46</f>
        <v>0</v>
      </c>
      <c r="F46" s="34"/>
      <c r="G46" s="54">
        <f>+G45-D45</f>
        <v>0</v>
      </c>
      <c r="H46" s="54"/>
      <c r="I46" s="34"/>
      <c r="J46" s="34"/>
      <c r="K46" s="34"/>
      <c r="L46" s="55"/>
      <c r="M46" s="34"/>
    </row>
    <row r="47" spans="1:13" x14ac:dyDescent="0.25">
      <c r="A47" s="34"/>
      <c r="B47" s="60" t="s">
        <v>53</v>
      </c>
      <c r="C47" s="59">
        <v>0.75</v>
      </c>
      <c r="D47" s="55">
        <f>IF(G47&lt;=0,0,IF($B$30*0.03&gt;G47,G47,$B$30*0.03))</f>
        <v>0</v>
      </c>
      <c r="E47" s="55">
        <f>+C47*D47</f>
        <v>0</v>
      </c>
      <c r="F47" s="34"/>
      <c r="G47" s="54">
        <f>+G46-D46</f>
        <v>0</v>
      </c>
      <c r="H47" s="54"/>
      <c r="I47" s="34"/>
      <c r="J47" s="34"/>
      <c r="K47" s="34"/>
      <c r="L47" s="55"/>
      <c r="M47" s="34"/>
    </row>
    <row r="48" spans="1:13" x14ac:dyDescent="0.25">
      <c r="A48" s="34"/>
      <c r="B48" s="60" t="s">
        <v>45</v>
      </c>
      <c r="C48" s="59">
        <v>1</v>
      </c>
      <c r="D48" s="55">
        <f>IF(G48&lt;=0,0,IF($B$30*0.93&gt;G48,G48,$B$30*0.93))</f>
        <v>0</v>
      </c>
      <c r="E48" s="55">
        <f>+C48*D48</f>
        <v>0</v>
      </c>
      <c r="F48" s="34"/>
      <c r="G48" s="54">
        <f>+G47-D47</f>
        <v>0</v>
      </c>
      <c r="H48" s="54"/>
      <c r="I48" s="34"/>
      <c r="J48" s="34"/>
      <c r="K48" s="34"/>
      <c r="L48" s="55"/>
      <c r="M48" s="34"/>
    </row>
    <row r="49" spans="1:13" x14ac:dyDescent="0.25">
      <c r="A49" s="34"/>
      <c r="B49" s="60"/>
      <c r="C49" s="59"/>
      <c r="D49" s="55"/>
      <c r="E49" s="55"/>
      <c r="F49" s="34"/>
      <c r="G49" s="34"/>
      <c r="H49" s="34"/>
      <c r="I49" s="34"/>
      <c r="J49" s="34"/>
      <c r="K49" s="34"/>
      <c r="L49" s="34"/>
      <c r="M49" s="34"/>
    </row>
    <row r="50" spans="1:13" x14ac:dyDescent="0.25">
      <c r="A50" s="34"/>
      <c r="B50" s="60"/>
      <c r="C50" s="59"/>
      <c r="D50" s="55"/>
      <c r="E50" s="55"/>
      <c r="F50" s="34"/>
      <c r="G50" s="34"/>
      <c r="H50" s="34"/>
      <c r="I50" s="34"/>
      <c r="J50" s="34"/>
      <c r="K50" s="34"/>
      <c r="L50" s="34"/>
      <c r="M50" s="34"/>
    </row>
    <row r="51" spans="1:13" x14ac:dyDescent="0.25">
      <c r="A51" s="34"/>
      <c r="B51" s="60"/>
      <c r="C51" s="60"/>
      <c r="D51" s="34"/>
      <c r="E51" s="54"/>
      <c r="F51" s="53"/>
      <c r="G51" s="53"/>
      <c r="H51" s="34"/>
      <c r="I51" s="34"/>
      <c r="J51" s="34"/>
      <c r="K51" s="34"/>
      <c r="L51" s="61"/>
      <c r="M51" s="34"/>
    </row>
    <row r="52" spans="1:13" x14ac:dyDescent="0.25">
      <c r="A52" s="34"/>
      <c r="B52" s="34"/>
      <c r="C52" s="34"/>
      <c r="D52" s="34"/>
      <c r="E52" s="34"/>
      <c r="F52" s="53"/>
      <c r="G52" s="53"/>
      <c r="H52" s="34"/>
      <c r="I52" s="34"/>
      <c r="J52" s="34"/>
      <c r="K52" s="34"/>
      <c r="L52" s="61"/>
      <c r="M52" s="34"/>
    </row>
    <row r="53" spans="1:13" x14ac:dyDescent="0.25">
      <c r="A53" s="22"/>
      <c r="B53" s="23"/>
      <c r="C53" s="20"/>
      <c r="D53" s="21" t="s">
        <v>48</v>
      </c>
      <c r="E53" s="20"/>
      <c r="F53" s="34"/>
      <c r="G53" s="54"/>
      <c r="H53" s="54"/>
      <c r="I53" s="34"/>
      <c r="J53" s="34"/>
      <c r="K53" s="34"/>
      <c r="L53" s="55"/>
      <c r="M53" s="34"/>
    </row>
    <row r="54" spans="1:13" x14ac:dyDescent="0.25">
      <c r="A54" s="24" t="s">
        <v>41</v>
      </c>
      <c r="B54" s="24" t="s">
        <v>13</v>
      </c>
      <c r="C54" s="21" t="s">
        <v>9</v>
      </c>
      <c r="D54" s="21" t="s">
        <v>44</v>
      </c>
      <c r="E54" s="21" t="s">
        <v>14</v>
      </c>
      <c r="F54" s="43"/>
      <c r="G54" s="56" t="s">
        <v>11</v>
      </c>
      <c r="H54" s="57"/>
      <c r="I54" s="43"/>
      <c r="J54" s="43"/>
      <c r="K54" s="43"/>
      <c r="L54" s="58"/>
      <c r="M54" s="43"/>
    </row>
    <row r="55" spans="1:13" x14ac:dyDescent="0.25">
      <c r="A55" s="34"/>
      <c r="B55" s="60" t="s">
        <v>49</v>
      </c>
      <c r="C55" s="59">
        <v>0</v>
      </c>
      <c r="D55" s="55">
        <f>IF(G55&gt;=0,0,IF(-$B$30*0.01&lt;G55,G55,-$B$30*0.01))</f>
        <v>0</v>
      </c>
      <c r="E55" s="55">
        <f>+C55*D55</f>
        <v>0</v>
      </c>
      <c r="F55" s="34"/>
      <c r="G55" s="54">
        <f>+IF(B31&gt;0,0,B31)</f>
        <v>0</v>
      </c>
      <c r="H55" s="54"/>
      <c r="I55" s="34"/>
      <c r="J55" s="34"/>
      <c r="K55" s="34"/>
      <c r="L55" s="55"/>
      <c r="M55" s="34"/>
    </row>
    <row r="56" spans="1:13" x14ac:dyDescent="0.25">
      <c r="A56" s="34"/>
      <c r="B56" s="64" t="s">
        <v>55</v>
      </c>
      <c r="C56" s="59">
        <v>0.25</v>
      </c>
      <c r="D56" s="55">
        <f>IF(G56&gt;=0,0,IF(-$B$30*0.01&lt;G56,G56,-$B$30*0.01))</f>
        <v>0</v>
      </c>
      <c r="E56" s="55">
        <f>+C56*D56</f>
        <v>0</v>
      </c>
      <c r="F56" s="34"/>
      <c r="G56" s="54">
        <f>G55-D55</f>
        <v>0</v>
      </c>
      <c r="H56" s="54"/>
      <c r="I56" s="34"/>
      <c r="J56" s="34"/>
      <c r="K56" s="34"/>
      <c r="L56" s="55"/>
      <c r="M56" s="34"/>
    </row>
    <row r="57" spans="1:13" x14ac:dyDescent="0.25">
      <c r="A57" s="34"/>
      <c r="B57" s="65" t="s">
        <v>50</v>
      </c>
      <c r="C57" s="59">
        <v>0.5</v>
      </c>
      <c r="D57" s="55">
        <f>IF(G57&gt;=0,0,IF(-$B$30*0.01&lt;G57,G57,-$B$30*0.01))</f>
        <v>0</v>
      </c>
      <c r="E57" s="55">
        <f>+C57*D57</f>
        <v>0</v>
      </c>
      <c r="F57" s="34"/>
      <c r="G57" s="54">
        <f>G56-D56</f>
        <v>0</v>
      </c>
      <c r="H57" s="54"/>
      <c r="I57" s="34"/>
      <c r="J57" s="34"/>
      <c r="K57" s="34"/>
      <c r="L57" s="55"/>
      <c r="M57" s="34"/>
    </row>
    <row r="58" spans="1:13" x14ac:dyDescent="0.25">
      <c r="A58" s="34"/>
      <c r="B58" s="65" t="s">
        <v>51</v>
      </c>
      <c r="C58" s="59">
        <v>0.75</v>
      </c>
      <c r="D58" s="55">
        <f>IF(G58&gt;=0,0,IF(-$B$30*0.01&lt;G58,G58,$B$30*0.01))</f>
        <v>0</v>
      </c>
      <c r="E58" s="55">
        <f>+C58*D58</f>
        <v>0</v>
      </c>
      <c r="F58" s="34"/>
      <c r="G58" s="54">
        <f>G57-D57</f>
        <v>0</v>
      </c>
      <c r="H58" s="54"/>
      <c r="I58" s="34"/>
      <c r="J58" s="34"/>
      <c r="K58" s="34"/>
      <c r="L58" s="55"/>
      <c r="M58" s="34"/>
    </row>
    <row r="59" spans="1:13" x14ac:dyDescent="0.25">
      <c r="A59" s="34"/>
      <c r="B59" s="60" t="s">
        <v>52</v>
      </c>
      <c r="C59" s="59">
        <v>1</v>
      </c>
      <c r="D59" s="55">
        <f>IF(G59&gt;=0,0,IF(-$B$30*0.96&lt;G59,G59,-$B$30*0.96))</f>
        <v>0</v>
      </c>
      <c r="E59" s="55">
        <f>+C59*D59</f>
        <v>0</v>
      </c>
      <c r="F59" s="34"/>
      <c r="G59" s="54">
        <f>G58-D58</f>
        <v>0</v>
      </c>
      <c r="H59" s="54"/>
      <c r="I59" s="34"/>
      <c r="J59" s="34"/>
      <c r="K59" s="34"/>
      <c r="L59" s="34"/>
      <c r="M59" s="34"/>
    </row>
    <row r="60" spans="1:13" x14ac:dyDescent="0.25">
      <c r="A60" s="34"/>
      <c r="B60" s="60"/>
      <c r="C60" s="59"/>
      <c r="D60" s="55"/>
      <c r="E60" s="55"/>
      <c r="F60" s="34"/>
      <c r="G60" s="34"/>
      <c r="H60" s="54"/>
      <c r="I60" s="34"/>
      <c r="J60" s="34"/>
      <c r="K60" s="34"/>
      <c r="L60" s="34"/>
      <c r="M60" s="34"/>
    </row>
    <row r="61" spans="1:13" x14ac:dyDescent="0.25">
      <c r="A61" s="34"/>
      <c r="B61" s="60"/>
      <c r="C61" s="59"/>
      <c r="D61" s="55"/>
      <c r="E61" s="55"/>
      <c r="F61" s="34"/>
      <c r="G61" s="34"/>
      <c r="H61" s="34"/>
      <c r="I61" s="34"/>
      <c r="J61" s="34"/>
      <c r="K61" s="34"/>
      <c r="L61" s="34"/>
      <c r="M61" s="34"/>
    </row>
    <row r="62" spans="1:13" x14ac:dyDescent="0.25">
      <c r="A62" s="34"/>
      <c r="B62" s="60"/>
      <c r="C62" s="59"/>
      <c r="D62" s="55"/>
      <c r="E62" s="55"/>
      <c r="F62" s="34"/>
      <c r="G62" s="34"/>
      <c r="H62" s="34"/>
      <c r="I62" s="34"/>
      <c r="J62" s="34"/>
      <c r="K62" s="34"/>
      <c r="L62" s="34"/>
      <c r="M62" s="34"/>
    </row>
    <row r="63" spans="1:13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5">
      <c r="A64" s="87" t="s">
        <v>42</v>
      </c>
      <c r="B64" s="43"/>
      <c r="C64" s="43"/>
      <c r="D64" s="43"/>
      <c r="E64" s="43"/>
      <c r="F64" s="43"/>
    </row>
    <row r="65" spans="1:8" x14ac:dyDescent="0.25">
      <c r="A65" s="88" t="s">
        <v>61</v>
      </c>
      <c r="B65" s="78"/>
      <c r="C65" s="78"/>
      <c r="D65" s="78"/>
      <c r="E65" s="78"/>
      <c r="F65" s="89"/>
    </row>
    <row r="66" spans="1:8" x14ac:dyDescent="0.25">
      <c r="A66" s="90" t="s">
        <v>56</v>
      </c>
      <c r="F66" s="91"/>
    </row>
    <row r="67" spans="1:8" x14ac:dyDescent="0.25">
      <c r="A67" s="90" t="s">
        <v>59</v>
      </c>
      <c r="C67" s="5"/>
      <c r="D67" s="5"/>
      <c r="E67" s="5"/>
      <c r="F67" s="92"/>
      <c r="G67" s="5"/>
      <c r="H67" s="5"/>
    </row>
    <row r="68" spans="1:8" x14ac:dyDescent="0.25">
      <c r="A68" s="90" t="s">
        <v>57</v>
      </c>
      <c r="F68" s="91"/>
    </row>
    <row r="69" spans="1:8" ht="15" customHeight="1" x14ac:dyDescent="0.25">
      <c r="A69" s="93" t="s">
        <v>58</v>
      </c>
      <c r="B69" s="94"/>
      <c r="C69" s="94"/>
      <c r="D69" s="94"/>
      <c r="E69" s="94"/>
      <c r="F69" s="95"/>
    </row>
    <row r="70" spans="1:8" ht="12" customHeight="1" x14ac:dyDescent="0.25"/>
  </sheetData>
  <pageMargins left="0.75" right="0.75" top="1" bottom="1" header="0.5" footer="0.5"/>
  <pageSetup scale="32" orientation="landscape" r:id="rId1"/>
  <headerFooter alignWithMargins="0">
    <oddHeader xml:space="preserve">&amp;L&amp;G
&amp;C&amp;"-,Bold"&amp;12&amp;K369992AHCCCS CONTRACTOR OPERATIONS MANUAL&amp;K2F8DCB
&amp;K369992  311 CYE 25 FWD - ATTACHMENT A -
ACC AND ACC-RBHA PROGRAM TIERED RECONCILIATION - EXAMPLE
FOR THE CONTRACT YEAR ENDED 09/30/xx 
AS OF: xx/xx/xx
&amp;K2F8DCB
</oddHeader>
    <oddFooter>&amp;L&amp;"-,Regular"&amp;K369992Effective Dates: 10/01/24, 06/12/25, 10/01/26
Approval Dates: 05/14/24, 05/07/25, 09/01/26&amp;C&amp;"-,Bold"&amp;11&amp;K369992 311 CYE 25 FWD - Attachment A - 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0"/>
  <sheetViews>
    <sheetView view="pageLayout" zoomScaleNormal="120" workbookViewId="0">
      <selection activeCell="A29" sqref="A29:M63"/>
    </sheetView>
  </sheetViews>
  <sheetFormatPr defaultColWidth="9.140625" defaultRowHeight="15" x14ac:dyDescent="0.25"/>
  <cols>
    <col min="1" max="1" width="88.85546875" style="2" customWidth="1"/>
    <col min="2" max="2" width="25.28515625" style="2" bestFit="1" customWidth="1"/>
    <col min="3" max="3" width="23.140625" style="2" bestFit="1" customWidth="1"/>
    <col min="4" max="4" width="23.28515625" style="2" bestFit="1" customWidth="1"/>
    <col min="5" max="7" width="22" style="2" bestFit="1" customWidth="1"/>
    <col min="8" max="8" width="22.85546875" style="2" bestFit="1" customWidth="1"/>
    <col min="9" max="9" width="22" style="2" bestFit="1" customWidth="1"/>
    <col min="10" max="10" width="23.5703125" style="2" bestFit="1" customWidth="1"/>
    <col min="11" max="11" width="22" style="2" bestFit="1" customWidth="1"/>
    <col min="12" max="12" width="19.42578125" style="2" customWidth="1"/>
    <col min="13" max="13" width="30.28515625" style="2" customWidth="1"/>
    <col min="14" max="14" width="20.140625" style="2" bestFit="1" customWidth="1"/>
    <col min="15" max="15" width="12.85546875" style="2" bestFit="1" customWidth="1"/>
    <col min="16" max="16" width="10.7109375" style="2" bestFit="1" customWidth="1"/>
    <col min="17" max="16384" width="9.140625" style="2"/>
  </cols>
  <sheetData>
    <row r="1" spans="1:16" ht="40.5" customHeight="1" x14ac:dyDescent="0.25">
      <c r="A1" s="12"/>
      <c r="B1" s="13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5" t="s">
        <v>21</v>
      </c>
      <c r="H1" s="15" t="s">
        <v>26</v>
      </c>
      <c r="I1" s="15" t="s">
        <v>27</v>
      </c>
      <c r="J1" s="15" t="s">
        <v>24</v>
      </c>
      <c r="K1" s="15" t="s">
        <v>25</v>
      </c>
      <c r="L1" s="15" t="s">
        <v>22</v>
      </c>
      <c r="M1" s="13" t="s">
        <v>0</v>
      </c>
    </row>
    <row r="2" spans="1:16" x14ac:dyDescent="0.25">
      <c r="A2" s="27"/>
      <c r="B2" s="28"/>
      <c r="C2" s="28"/>
      <c r="D2" s="68"/>
      <c r="E2" s="68"/>
      <c r="F2" s="28"/>
      <c r="G2" s="28"/>
      <c r="H2" s="69"/>
      <c r="I2" s="28"/>
      <c r="J2" s="28"/>
      <c r="K2" s="28"/>
      <c r="L2" s="28"/>
      <c r="M2" s="28"/>
    </row>
    <row r="3" spans="1:16" x14ac:dyDescent="0.25">
      <c r="A3" s="27" t="s">
        <v>30</v>
      </c>
      <c r="B3" s="28"/>
      <c r="C3" s="28"/>
      <c r="D3" s="68"/>
      <c r="E3" s="68"/>
      <c r="F3" s="28"/>
      <c r="G3" s="28"/>
      <c r="H3" s="69"/>
      <c r="I3" s="28"/>
      <c r="J3" s="28"/>
      <c r="K3" s="28"/>
      <c r="L3" s="28"/>
      <c r="M3" s="28"/>
    </row>
    <row r="4" spans="1:16" x14ac:dyDescent="0.25">
      <c r="A4" s="30" t="s">
        <v>1</v>
      </c>
      <c r="B4" s="31">
        <v>58400000</v>
      </c>
      <c r="C4" s="31">
        <v>128300000</v>
      </c>
      <c r="D4" s="31">
        <v>102700000</v>
      </c>
      <c r="E4" s="31">
        <v>41500000</v>
      </c>
      <c r="F4" s="31">
        <v>40000000</v>
      </c>
      <c r="G4" s="31">
        <v>29200000</v>
      </c>
      <c r="H4" s="31">
        <v>112300000</v>
      </c>
      <c r="I4" s="31">
        <v>60000000</v>
      </c>
      <c r="J4" s="31">
        <f>373600000</f>
        <v>373600000</v>
      </c>
      <c r="K4" s="31">
        <v>39600000</v>
      </c>
      <c r="L4" s="31">
        <v>0</v>
      </c>
      <c r="M4" s="31">
        <f>+SUM(B4:L4)</f>
        <v>985600000</v>
      </c>
    </row>
    <row r="5" spans="1:16" x14ac:dyDescent="0.25">
      <c r="A5" s="30" t="s">
        <v>15</v>
      </c>
      <c r="B5" s="31">
        <v>550000</v>
      </c>
      <c r="C5" s="31">
        <v>7532000</v>
      </c>
      <c r="D5" s="31">
        <v>15325000</v>
      </c>
      <c r="E5" s="31">
        <v>750000</v>
      </c>
      <c r="F5" s="31">
        <v>2555000</v>
      </c>
      <c r="G5" s="31">
        <v>0</v>
      </c>
      <c r="H5" s="31">
        <v>755000</v>
      </c>
      <c r="I5" s="31">
        <v>699000</v>
      </c>
      <c r="J5" s="31">
        <f>3577750</f>
        <v>3577750</v>
      </c>
      <c r="K5" s="31">
        <v>0</v>
      </c>
      <c r="L5" s="31"/>
      <c r="M5" s="31">
        <f>+SUM(B5:L5)</f>
        <v>31743750</v>
      </c>
    </row>
    <row r="6" spans="1:16" x14ac:dyDescent="0.25">
      <c r="A6" s="30" t="s">
        <v>2</v>
      </c>
      <c r="B6" s="31">
        <v>0</v>
      </c>
      <c r="C6" s="31">
        <v>0</v>
      </c>
      <c r="D6" s="31">
        <v>28400000</v>
      </c>
      <c r="E6" s="31">
        <v>0</v>
      </c>
      <c r="F6" s="31">
        <v>0</v>
      </c>
      <c r="G6" s="31">
        <v>100000</v>
      </c>
      <c r="H6" s="31">
        <v>700000</v>
      </c>
      <c r="I6" s="31">
        <v>0</v>
      </c>
      <c r="J6" s="31">
        <v>0</v>
      </c>
      <c r="K6" s="31">
        <v>0</v>
      </c>
      <c r="L6" s="31">
        <v>0</v>
      </c>
      <c r="M6" s="31">
        <f>+SUM(B6:L6)</f>
        <v>29200000</v>
      </c>
    </row>
    <row r="7" spans="1:16" x14ac:dyDescent="0.25">
      <c r="A7" s="70" t="s">
        <v>28</v>
      </c>
      <c r="B7" s="32">
        <f>9200000</f>
        <v>9200000</v>
      </c>
      <c r="C7" s="32">
        <v>4600000</v>
      </c>
      <c r="D7" s="32">
        <v>3300000</v>
      </c>
      <c r="E7" s="32">
        <v>4900000</v>
      </c>
      <c r="F7" s="32">
        <v>1300000</v>
      </c>
      <c r="G7" s="32">
        <v>300000</v>
      </c>
      <c r="H7" s="32">
        <v>21900000</v>
      </c>
      <c r="I7" s="32">
        <v>750000</v>
      </c>
      <c r="J7" s="32">
        <v>4950000</v>
      </c>
      <c r="K7" s="32">
        <v>0</v>
      </c>
      <c r="L7" s="32"/>
      <c r="M7" s="32">
        <f>SUM(B7:L7)</f>
        <v>51200000</v>
      </c>
    </row>
    <row r="8" spans="1:16" x14ac:dyDescent="0.25">
      <c r="A8" s="30" t="s">
        <v>3</v>
      </c>
      <c r="B8" s="31">
        <v>4400000</v>
      </c>
      <c r="C8" s="31">
        <v>9500000</v>
      </c>
      <c r="D8" s="31">
        <v>11342560</v>
      </c>
      <c r="E8" s="31">
        <v>3100000</v>
      </c>
      <c r="F8" s="31">
        <v>3100000</v>
      </c>
      <c r="G8" s="31">
        <v>2107840</v>
      </c>
      <c r="H8" s="31">
        <v>8254880</v>
      </c>
      <c r="I8" s="31">
        <v>2638400</v>
      </c>
      <c r="J8" s="31">
        <f>27900000</f>
        <v>27900000</v>
      </c>
      <c r="K8" s="31">
        <v>3084000</v>
      </c>
      <c r="L8" s="31">
        <v>0</v>
      </c>
      <c r="M8" s="31">
        <f>+SUM(B8:L8)</f>
        <v>75427680</v>
      </c>
      <c r="N8" s="11"/>
      <c r="O8" s="11"/>
      <c r="P8" s="11"/>
    </row>
    <row r="9" spans="1:16" x14ac:dyDescent="0.25">
      <c r="A9" s="30" t="s">
        <v>4</v>
      </c>
      <c r="B9" s="31">
        <f t="shared" ref="B9:L9" si="0">SUM(B4:B6,B7)*0.02</f>
        <v>1363000</v>
      </c>
      <c r="C9" s="31">
        <f t="shared" si="0"/>
        <v>2808640</v>
      </c>
      <c r="D9" s="31">
        <f t="shared" si="0"/>
        <v>2994500</v>
      </c>
      <c r="E9" s="31">
        <f t="shared" si="0"/>
        <v>943000</v>
      </c>
      <c r="F9" s="31">
        <f t="shared" si="0"/>
        <v>877100</v>
      </c>
      <c r="G9" s="31">
        <f t="shared" si="0"/>
        <v>592000</v>
      </c>
      <c r="H9" s="31">
        <f t="shared" si="0"/>
        <v>2713100</v>
      </c>
      <c r="I9" s="31">
        <f t="shared" si="0"/>
        <v>1228980</v>
      </c>
      <c r="J9" s="31">
        <f t="shared" si="0"/>
        <v>7642555</v>
      </c>
      <c r="K9" s="31">
        <f t="shared" si="0"/>
        <v>792000</v>
      </c>
      <c r="L9" s="31">
        <f t="shared" si="0"/>
        <v>0</v>
      </c>
      <c r="M9" s="31">
        <f>SUM(B9:L9)</f>
        <v>21954875</v>
      </c>
      <c r="O9" s="11"/>
    </row>
    <row r="10" spans="1:16" x14ac:dyDescent="0.25">
      <c r="A10" s="27" t="s">
        <v>29</v>
      </c>
      <c r="B10" s="32">
        <f t="shared" ref="B10:M10" si="1">SUM(B4:B6,B7)-B8-B9</f>
        <v>62387000</v>
      </c>
      <c r="C10" s="32">
        <f t="shared" si="1"/>
        <v>128123360</v>
      </c>
      <c r="D10" s="32">
        <f t="shared" si="1"/>
        <v>135387940</v>
      </c>
      <c r="E10" s="32">
        <f t="shared" si="1"/>
        <v>43107000</v>
      </c>
      <c r="F10" s="32">
        <f t="shared" si="1"/>
        <v>39877900</v>
      </c>
      <c r="G10" s="32">
        <f t="shared" si="1"/>
        <v>26900160</v>
      </c>
      <c r="H10" s="32">
        <f t="shared" si="1"/>
        <v>124687020</v>
      </c>
      <c r="I10" s="32">
        <f t="shared" si="1"/>
        <v>57581620</v>
      </c>
      <c r="J10" s="32">
        <f t="shared" si="1"/>
        <v>346585195</v>
      </c>
      <c r="K10" s="32">
        <f t="shared" si="1"/>
        <v>35724000</v>
      </c>
      <c r="L10" s="32">
        <f t="shared" si="1"/>
        <v>0</v>
      </c>
      <c r="M10" s="32">
        <f t="shared" si="1"/>
        <v>1000361195</v>
      </c>
    </row>
    <row r="11" spans="1:16" x14ac:dyDescent="0.25">
      <c r="A11" s="27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6" x14ac:dyDescent="0.25">
      <c r="A12" s="27" t="s">
        <v>32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x14ac:dyDescent="0.25">
      <c r="A13" s="30" t="s">
        <v>33</v>
      </c>
      <c r="B13" s="31">
        <f>58615000</f>
        <v>58615000</v>
      </c>
      <c r="C13" s="31">
        <v>109630000</v>
      </c>
      <c r="D13" s="31">
        <v>126550000</v>
      </c>
      <c r="E13" s="31">
        <v>41805000</v>
      </c>
      <c r="F13" s="31">
        <v>43630000</v>
      </c>
      <c r="G13" s="31">
        <v>25935000</v>
      </c>
      <c r="H13" s="31">
        <v>113240000</v>
      </c>
      <c r="I13" s="31">
        <v>45975000</v>
      </c>
      <c r="J13" s="31">
        <f>225750900</f>
        <v>225750900</v>
      </c>
      <c r="K13" s="31">
        <v>1875000</v>
      </c>
      <c r="L13" s="31"/>
      <c r="M13" s="31">
        <f t="shared" ref="M13:M16" si="2">+SUM(B13:L13)</f>
        <v>793005900</v>
      </c>
      <c r="O13" s="11"/>
    </row>
    <row r="14" spans="1:16" x14ac:dyDescent="0.25">
      <c r="A14" s="30" t="s">
        <v>63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f t="shared" si="2"/>
        <v>0</v>
      </c>
      <c r="O14" s="11"/>
    </row>
    <row r="15" spans="1:16" x14ac:dyDescent="0.25">
      <c r="A15" s="30" t="s">
        <v>54</v>
      </c>
      <c r="B15" s="31">
        <v>1000000</v>
      </c>
      <c r="C15" s="31">
        <v>500000</v>
      </c>
      <c r="D15" s="31">
        <v>500000</v>
      </c>
      <c r="E15" s="31">
        <v>700000</v>
      </c>
      <c r="F15" s="31">
        <v>100000</v>
      </c>
      <c r="G15" s="31">
        <v>600000</v>
      </c>
      <c r="H15" s="31">
        <v>900000</v>
      </c>
      <c r="I15" s="31">
        <v>400000</v>
      </c>
      <c r="J15" s="31">
        <f>98850000</f>
        <v>98850000</v>
      </c>
      <c r="K15" s="31">
        <v>30000000</v>
      </c>
      <c r="L15" s="31">
        <v>0</v>
      </c>
      <c r="M15" s="31">
        <f t="shared" si="2"/>
        <v>133550000</v>
      </c>
    </row>
    <row r="16" spans="1:16" x14ac:dyDescent="0.25">
      <c r="A16" s="30" t="s">
        <v>5</v>
      </c>
      <c r="B16" s="31">
        <v>0</v>
      </c>
      <c r="C16" s="31">
        <v>0</v>
      </c>
      <c r="D16" s="31">
        <v>0</v>
      </c>
      <c r="E16" s="31">
        <v>1500</v>
      </c>
      <c r="F16" s="31">
        <v>25000</v>
      </c>
      <c r="G16" s="31">
        <v>0</v>
      </c>
      <c r="H16" s="31">
        <v>0</v>
      </c>
      <c r="I16" s="31">
        <v>0</v>
      </c>
      <c r="J16" s="31">
        <v>300000</v>
      </c>
      <c r="K16" s="31">
        <v>0</v>
      </c>
      <c r="L16" s="31"/>
      <c r="M16" s="31">
        <f t="shared" si="2"/>
        <v>326500</v>
      </c>
    </row>
    <row r="17" spans="1:14" x14ac:dyDescent="0.25">
      <c r="A17" s="27" t="s">
        <v>34</v>
      </c>
      <c r="B17" s="32">
        <f>SUM(B13:B15)-B16</f>
        <v>59615000</v>
      </c>
      <c r="C17" s="32">
        <f t="shared" ref="C17:M17" si="3">SUM(C13:C15)-C16</f>
        <v>110130000</v>
      </c>
      <c r="D17" s="32">
        <f t="shared" si="3"/>
        <v>127050000</v>
      </c>
      <c r="E17" s="32">
        <f t="shared" si="3"/>
        <v>42503500</v>
      </c>
      <c r="F17" s="32">
        <f t="shared" si="3"/>
        <v>43705000</v>
      </c>
      <c r="G17" s="32">
        <f t="shared" si="3"/>
        <v>26535000</v>
      </c>
      <c r="H17" s="32">
        <f t="shared" si="3"/>
        <v>114140000</v>
      </c>
      <c r="I17" s="32">
        <f t="shared" si="3"/>
        <v>46375000</v>
      </c>
      <c r="J17" s="32">
        <f t="shared" si="3"/>
        <v>324300900</v>
      </c>
      <c r="K17" s="32">
        <f t="shared" si="3"/>
        <v>31875000</v>
      </c>
      <c r="L17" s="32">
        <f t="shared" si="3"/>
        <v>0</v>
      </c>
      <c r="M17" s="32">
        <f t="shared" si="3"/>
        <v>926229400</v>
      </c>
      <c r="N17" s="11"/>
    </row>
    <row r="18" spans="1:14" x14ac:dyDescent="0.25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4" x14ac:dyDescent="0.25">
      <c r="A19" s="27" t="s">
        <v>60</v>
      </c>
      <c r="B19" s="32">
        <f>B17*0.01</f>
        <v>596150</v>
      </c>
      <c r="C19" s="32">
        <f t="shared" ref="C19:L19" si="4">C17*0.01</f>
        <v>1101300</v>
      </c>
      <c r="D19" s="32">
        <f t="shared" si="4"/>
        <v>1270500</v>
      </c>
      <c r="E19" s="32">
        <f t="shared" si="4"/>
        <v>425035</v>
      </c>
      <c r="F19" s="32">
        <f t="shared" si="4"/>
        <v>437050</v>
      </c>
      <c r="G19" s="32">
        <f t="shared" si="4"/>
        <v>265350</v>
      </c>
      <c r="H19" s="32">
        <f t="shared" si="4"/>
        <v>1141400</v>
      </c>
      <c r="I19" s="32">
        <f t="shared" si="4"/>
        <v>463750</v>
      </c>
      <c r="J19" s="32">
        <f t="shared" si="4"/>
        <v>3243009</v>
      </c>
      <c r="K19" s="32"/>
      <c r="L19" s="32">
        <f t="shared" si="4"/>
        <v>0</v>
      </c>
      <c r="M19" s="32">
        <f>+SUM(B19:L19)</f>
        <v>8943544</v>
      </c>
    </row>
    <row r="20" spans="1:14" x14ac:dyDescent="0.25">
      <c r="A20" s="27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4" ht="36" customHeight="1" x14ac:dyDescent="0.25">
      <c r="A21" s="16" t="s">
        <v>76</v>
      </c>
      <c r="B21" s="17">
        <f>B10-B17-B19</f>
        <v>2175850</v>
      </c>
      <c r="C21" s="17">
        <f t="shared" ref="C21:M21" si="5">C10-C17-C19</f>
        <v>16892060</v>
      </c>
      <c r="D21" s="17">
        <f t="shared" si="5"/>
        <v>7067440</v>
      </c>
      <c r="E21" s="17">
        <f t="shared" si="5"/>
        <v>178465</v>
      </c>
      <c r="F21" s="17">
        <f t="shared" si="5"/>
        <v>-4264150</v>
      </c>
      <c r="G21" s="17">
        <f t="shared" si="5"/>
        <v>99810</v>
      </c>
      <c r="H21" s="17">
        <f t="shared" si="5"/>
        <v>9405620</v>
      </c>
      <c r="I21" s="17">
        <f t="shared" si="5"/>
        <v>10742870</v>
      </c>
      <c r="J21" s="17">
        <f t="shared" si="5"/>
        <v>19041286</v>
      </c>
      <c r="K21" s="17">
        <f>K10-K17-K19</f>
        <v>3849000</v>
      </c>
      <c r="L21" s="17">
        <f t="shared" si="5"/>
        <v>0</v>
      </c>
      <c r="M21" s="17">
        <f t="shared" si="5"/>
        <v>65188251</v>
      </c>
    </row>
    <row r="22" spans="1:14" x14ac:dyDescent="0.25">
      <c r="A22" s="27" t="s">
        <v>36</v>
      </c>
      <c r="B22" s="71">
        <f>B21/B10</f>
        <v>3.4876656995848493E-2</v>
      </c>
      <c r="C22" s="71">
        <f t="shared" ref="C22:K22" si="6">C21/C10</f>
        <v>0.1318421558722781</v>
      </c>
      <c r="D22" s="71">
        <f t="shared" si="6"/>
        <v>5.22013999178952E-2</v>
      </c>
      <c r="E22" s="71">
        <f t="shared" si="6"/>
        <v>4.1400468601387247E-3</v>
      </c>
      <c r="F22" s="71">
        <f t="shared" si="6"/>
        <v>-0.10693015429598851</v>
      </c>
      <c r="G22" s="71">
        <f t="shared" si="6"/>
        <v>3.7103868527176048E-3</v>
      </c>
      <c r="H22" s="71">
        <f t="shared" si="6"/>
        <v>7.5433834251552409E-2</v>
      </c>
      <c r="I22" s="71">
        <f t="shared" si="6"/>
        <v>0.1865676929548005</v>
      </c>
      <c r="J22" s="71">
        <f t="shared" si="6"/>
        <v>5.4939698159928614E-2</v>
      </c>
      <c r="K22" s="71">
        <f t="shared" si="6"/>
        <v>0.10774269398723547</v>
      </c>
      <c r="L22" s="71">
        <f>IF(L10=0,0,L21/L10)</f>
        <v>0</v>
      </c>
      <c r="M22" s="71">
        <f>M21/M10</f>
        <v>6.5164713831187743E-2</v>
      </c>
    </row>
    <row r="23" spans="1:14" x14ac:dyDescent="0.25">
      <c r="A23" s="34" t="s">
        <v>6</v>
      </c>
      <c r="B23" s="72">
        <v>150000</v>
      </c>
      <c r="C23" s="72">
        <v>1410000</v>
      </c>
      <c r="D23" s="72">
        <v>670000</v>
      </c>
      <c r="E23" s="72">
        <v>320000</v>
      </c>
      <c r="F23" s="72">
        <v>120000</v>
      </c>
      <c r="G23" s="72">
        <v>250000</v>
      </c>
      <c r="H23" s="72">
        <v>210000</v>
      </c>
      <c r="I23" s="72">
        <v>50000</v>
      </c>
      <c r="J23" s="72">
        <v>15000</v>
      </c>
      <c r="K23" s="72">
        <v>3195000</v>
      </c>
      <c r="L23" s="72"/>
      <c r="M23" s="72">
        <f>SUM(B23:J23)</f>
        <v>3195000</v>
      </c>
    </row>
    <row r="24" spans="1:14" x14ac:dyDescent="0.25">
      <c r="A24" s="34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4" x14ac:dyDescent="0.25">
      <c r="A25" s="27"/>
      <c r="B25" s="73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4"/>
    </row>
    <row r="26" spans="1:14" x14ac:dyDescent="0.25">
      <c r="A26" s="38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3"/>
      <c r="M26" s="76"/>
    </row>
    <row r="27" spans="1:14" x14ac:dyDescent="0.25">
      <c r="A27" s="27"/>
      <c r="B27" s="34"/>
      <c r="C27" s="40"/>
      <c r="D27" s="34"/>
      <c r="E27" s="34"/>
      <c r="F27" s="34"/>
      <c r="G27" s="34"/>
      <c r="H27" s="34"/>
      <c r="I27" s="34"/>
      <c r="J27" s="34"/>
      <c r="K27" s="34"/>
      <c r="L27" s="34"/>
      <c r="M27" s="31"/>
    </row>
    <row r="28" spans="1:14" x14ac:dyDescent="0.25">
      <c r="A28" s="25" t="s">
        <v>62</v>
      </c>
      <c r="B28" s="77"/>
      <c r="C28" s="78"/>
      <c r="D28" s="79"/>
      <c r="E28" s="79"/>
      <c r="F28" s="79"/>
      <c r="G28" s="78"/>
      <c r="H28" s="78"/>
      <c r="I28" s="78"/>
      <c r="J28" s="78"/>
      <c r="K28" s="78"/>
      <c r="L28" s="78"/>
      <c r="M28" s="80"/>
    </row>
    <row r="29" spans="1:14" x14ac:dyDescent="0.25">
      <c r="A29" s="27"/>
      <c r="B29" s="81"/>
      <c r="C29" s="81"/>
      <c r="D29" s="73"/>
      <c r="E29" s="34"/>
      <c r="F29" s="66"/>
      <c r="G29" s="66"/>
      <c r="H29" s="34"/>
      <c r="I29" s="34"/>
      <c r="J29" s="34"/>
      <c r="K29" s="34"/>
      <c r="L29" s="34"/>
      <c r="M29" s="34"/>
    </row>
    <row r="30" spans="1:14" x14ac:dyDescent="0.25">
      <c r="A30" s="45" t="s">
        <v>29</v>
      </c>
      <c r="B30" s="31">
        <f>M10</f>
        <v>1000361195</v>
      </c>
      <c r="C30" s="82"/>
      <c r="D30" s="31"/>
      <c r="E30" s="34"/>
      <c r="F30" s="34"/>
      <c r="G30" s="34"/>
      <c r="H30" s="34"/>
      <c r="I30" s="34"/>
      <c r="J30" s="34"/>
      <c r="K30" s="34"/>
      <c r="L30" s="34"/>
      <c r="M30" s="34"/>
    </row>
    <row r="31" spans="1:14" x14ac:dyDescent="0.25">
      <c r="A31" s="34" t="s">
        <v>7</v>
      </c>
      <c r="B31" s="31">
        <f>M21</f>
        <v>65188251</v>
      </c>
      <c r="C31" s="31"/>
      <c r="D31" s="31"/>
      <c r="E31" s="34"/>
      <c r="F31" s="34"/>
      <c r="G31" s="34"/>
      <c r="H31" s="34"/>
      <c r="I31" s="34"/>
      <c r="J31" s="34"/>
      <c r="K31" s="34"/>
      <c r="L31" s="34"/>
      <c r="M31" s="34"/>
    </row>
    <row r="32" spans="1:14" x14ac:dyDescent="0.25">
      <c r="A32" s="34" t="s">
        <v>36</v>
      </c>
      <c r="B32" s="73">
        <f>B31/B30</f>
        <v>6.5164713831187743E-2</v>
      </c>
      <c r="C32" s="31"/>
      <c r="D32" s="31"/>
      <c r="E32" s="31"/>
      <c r="F32" s="34"/>
      <c r="G32" s="34"/>
      <c r="H32" s="34"/>
      <c r="I32" s="34"/>
      <c r="J32" s="34"/>
      <c r="K32" s="34"/>
      <c r="L32" s="34"/>
      <c r="M32" s="34"/>
    </row>
    <row r="33" spans="1:13" x14ac:dyDescent="0.25">
      <c r="A33" s="34"/>
      <c r="B33" s="31"/>
      <c r="C33" s="31"/>
      <c r="D33" s="31"/>
      <c r="E33" s="34"/>
      <c r="F33" s="34"/>
      <c r="G33" s="34"/>
      <c r="H33" s="34"/>
      <c r="I33" s="34"/>
      <c r="J33" s="34"/>
      <c r="K33" s="34"/>
      <c r="L33" s="34"/>
      <c r="M33" s="34"/>
    </row>
    <row r="34" spans="1:13" x14ac:dyDescent="0.25">
      <c r="A34" s="34"/>
      <c r="B34" s="83"/>
      <c r="C34" s="31"/>
      <c r="D34" s="31"/>
      <c r="E34" s="34"/>
      <c r="F34" s="34"/>
      <c r="G34" s="34"/>
      <c r="H34" s="34"/>
      <c r="I34" s="34"/>
      <c r="J34" s="34"/>
      <c r="K34" s="34"/>
      <c r="L34" s="34"/>
      <c r="M34" s="34"/>
    </row>
    <row r="35" spans="1:13" x14ac:dyDescent="0.25">
      <c r="A35" s="34"/>
      <c r="B35" s="34"/>
      <c r="C35" s="34"/>
      <c r="D35" s="31"/>
      <c r="E35" s="31"/>
      <c r="F35" s="34"/>
      <c r="G35" s="34"/>
      <c r="H35" s="34"/>
      <c r="I35" s="34"/>
      <c r="J35" s="34"/>
      <c r="K35" s="34"/>
      <c r="L35" s="34"/>
      <c r="M35" s="34"/>
    </row>
    <row r="36" spans="1:13" x14ac:dyDescent="0.25">
      <c r="A36" s="27" t="s">
        <v>37</v>
      </c>
      <c r="B36" s="31">
        <f>IF(B31&gt;0,-SUM(E45:E48),-SUM(E55:E59))</f>
        <v>-23882158.374999996</v>
      </c>
      <c r="C36" s="50"/>
      <c r="D36" s="31"/>
      <c r="E36" s="31"/>
      <c r="F36" s="31"/>
      <c r="G36" s="34"/>
      <c r="H36" s="34"/>
      <c r="I36" s="31"/>
      <c r="J36" s="31"/>
      <c r="K36" s="31"/>
      <c r="L36" s="34"/>
      <c r="M36" s="34"/>
    </row>
    <row r="37" spans="1:13" x14ac:dyDescent="0.25">
      <c r="A37" s="27"/>
      <c r="B37" s="31"/>
      <c r="C37" s="34"/>
      <c r="D37" s="31"/>
      <c r="E37" s="31"/>
      <c r="F37" s="34"/>
      <c r="G37" s="34"/>
      <c r="H37" s="34"/>
      <c r="I37" s="31"/>
      <c r="J37" s="31"/>
      <c r="K37" s="31"/>
      <c r="L37" s="34"/>
      <c r="M37" s="34"/>
    </row>
    <row r="38" spans="1:13" x14ac:dyDescent="0.25">
      <c r="A38" s="27" t="s">
        <v>38</v>
      </c>
      <c r="B38" s="31"/>
      <c r="C38" s="34"/>
      <c r="D38" s="31"/>
      <c r="E38" s="31"/>
      <c r="F38" s="34"/>
      <c r="G38" s="34"/>
      <c r="H38" s="34"/>
      <c r="I38" s="34"/>
      <c r="J38" s="34"/>
      <c r="K38" s="34"/>
      <c r="L38" s="34"/>
      <c r="M38" s="34"/>
    </row>
    <row r="39" spans="1:13" x14ac:dyDescent="0.25">
      <c r="A39" s="51"/>
      <c r="B39" s="31"/>
      <c r="C39" s="34"/>
      <c r="D39" s="31"/>
      <c r="E39" s="31"/>
      <c r="F39" s="34"/>
      <c r="G39" s="34"/>
      <c r="H39" s="34"/>
      <c r="I39" s="34"/>
      <c r="J39" s="34"/>
      <c r="K39" s="34"/>
      <c r="L39" s="34"/>
      <c r="M39" s="34"/>
    </row>
    <row r="40" spans="1:13" x14ac:dyDescent="0.25">
      <c r="A40" s="27" t="s">
        <v>39</v>
      </c>
      <c r="B40" s="31">
        <f>SUM(B36,B38)/0.98-SUM(B36,B38)</f>
        <v>-487390.98724489659</v>
      </c>
      <c r="C40" s="52"/>
      <c r="D40" s="31"/>
      <c r="E40" s="34"/>
      <c r="F40" s="34"/>
      <c r="G40" s="34"/>
      <c r="H40" s="34"/>
      <c r="I40" s="34"/>
      <c r="J40" s="34"/>
      <c r="K40" s="34"/>
      <c r="L40" s="34"/>
      <c r="M40" s="34"/>
    </row>
    <row r="41" spans="1:13" x14ac:dyDescent="0.25">
      <c r="A41" s="27" t="s">
        <v>40</v>
      </c>
      <c r="B41" s="31">
        <f>SUM(B36+B38+B40)</f>
        <v>-24369549.362244893</v>
      </c>
      <c r="C41" s="34"/>
      <c r="D41" s="34"/>
      <c r="E41" s="34"/>
      <c r="F41" s="53"/>
      <c r="G41" s="53"/>
      <c r="H41" s="34"/>
      <c r="I41" s="34"/>
      <c r="J41" s="34"/>
      <c r="K41" s="34"/>
      <c r="L41" s="34"/>
      <c r="M41" s="34"/>
    </row>
    <row r="42" spans="1:13" x14ac:dyDescent="0.25">
      <c r="A42" s="34"/>
      <c r="B42" s="34"/>
      <c r="C42" s="34"/>
      <c r="D42" s="34"/>
      <c r="E42" s="34"/>
      <c r="F42" s="53"/>
      <c r="G42" s="53"/>
      <c r="H42" s="34"/>
      <c r="I42" s="34"/>
      <c r="J42" s="34"/>
      <c r="K42" s="34"/>
      <c r="L42" s="53"/>
      <c r="M42" s="34"/>
    </row>
    <row r="43" spans="1:13" x14ac:dyDescent="0.25">
      <c r="A43" s="34"/>
      <c r="B43" s="31"/>
      <c r="C43" s="53"/>
      <c r="D43" s="53" t="s">
        <v>43</v>
      </c>
      <c r="E43" s="53"/>
      <c r="F43" s="34"/>
      <c r="G43" s="54"/>
      <c r="H43" s="54"/>
      <c r="I43" s="34"/>
      <c r="J43" s="34"/>
      <c r="K43" s="34"/>
      <c r="L43" s="84"/>
      <c r="M43" s="34"/>
    </row>
    <row r="44" spans="1:13" x14ac:dyDescent="0.25">
      <c r="A44" s="27" t="s">
        <v>41</v>
      </c>
      <c r="B44" s="34" t="s">
        <v>8</v>
      </c>
      <c r="C44" s="53" t="s">
        <v>9</v>
      </c>
      <c r="D44" s="53" t="s">
        <v>44</v>
      </c>
      <c r="E44" s="53" t="s">
        <v>10</v>
      </c>
      <c r="F44" s="34"/>
      <c r="G44" s="53" t="s">
        <v>11</v>
      </c>
      <c r="H44" s="54"/>
      <c r="I44" s="34"/>
      <c r="J44" s="34"/>
      <c r="K44" s="34"/>
      <c r="L44" s="84"/>
      <c r="M44" s="34"/>
    </row>
    <row r="45" spans="1:13" x14ac:dyDescent="0.25">
      <c r="A45" s="34"/>
      <c r="B45" s="60" t="s">
        <v>12</v>
      </c>
      <c r="C45" s="85">
        <v>0</v>
      </c>
      <c r="D45" s="84">
        <f>IF(G45&lt;=0,0,IF($B$30*0.02&gt;G45,G45,$B$30*0.02))</f>
        <v>20007223.900000002</v>
      </c>
      <c r="E45" s="84">
        <f>+C45*D45</f>
        <v>0</v>
      </c>
      <c r="F45" s="67"/>
      <c r="G45" s="54">
        <f>+IF(B31&lt;0,0,B31)</f>
        <v>65188251</v>
      </c>
      <c r="H45" s="83"/>
      <c r="I45" s="34"/>
      <c r="J45" s="34"/>
      <c r="K45" s="34"/>
      <c r="L45" s="84"/>
      <c r="M45" s="34"/>
    </row>
    <row r="46" spans="1:13" x14ac:dyDescent="0.25">
      <c r="A46" s="34"/>
      <c r="B46" s="60" t="s">
        <v>64</v>
      </c>
      <c r="C46" s="85">
        <v>0.25</v>
      </c>
      <c r="D46" s="84">
        <f>IF(G46&lt;=0,0,IF($B$30*0.02&gt;G46,G46,$B$30*0.02))</f>
        <v>20007223.900000002</v>
      </c>
      <c r="E46" s="84">
        <f>+C46*D46</f>
        <v>5001805.9750000006</v>
      </c>
      <c r="F46" s="67"/>
      <c r="G46" s="54">
        <f>+G45-D45</f>
        <v>45181027.099999994</v>
      </c>
      <c r="H46" s="54"/>
      <c r="I46" s="34"/>
      <c r="J46" s="34"/>
      <c r="K46" s="34"/>
      <c r="L46" s="84"/>
      <c r="M46" s="34"/>
    </row>
    <row r="47" spans="1:13" x14ac:dyDescent="0.25">
      <c r="A47" s="34"/>
      <c r="B47" s="60" t="s">
        <v>65</v>
      </c>
      <c r="C47" s="85">
        <v>0.75</v>
      </c>
      <c r="D47" s="84">
        <f>IF(G47&lt;=0,0,IF($B$30*0.03&gt;G47,G47,$B$30*0.03))</f>
        <v>25173803.199999992</v>
      </c>
      <c r="E47" s="84">
        <f>+C47*D47</f>
        <v>18880352.399999995</v>
      </c>
      <c r="F47" s="67"/>
      <c r="G47" s="54">
        <f>+G46-D46</f>
        <v>25173803.199999992</v>
      </c>
      <c r="H47" s="54"/>
      <c r="I47" s="34"/>
      <c r="J47" s="34"/>
      <c r="K47" s="34"/>
      <c r="L47" s="84"/>
      <c r="M47" s="34"/>
    </row>
    <row r="48" spans="1:13" x14ac:dyDescent="0.25">
      <c r="A48" s="34"/>
      <c r="B48" s="60" t="s">
        <v>66</v>
      </c>
      <c r="C48" s="85">
        <v>1</v>
      </c>
      <c r="D48" s="84">
        <f>IF(G48&lt;=0,0,IF($B$30*0.93&gt;G48,G48,$B$30*0.93))</f>
        <v>0</v>
      </c>
      <c r="E48" s="84">
        <f>+C48*D48</f>
        <v>0</v>
      </c>
      <c r="F48" s="67"/>
      <c r="G48" s="54">
        <f>+G47-D47</f>
        <v>0</v>
      </c>
      <c r="H48" s="54"/>
      <c r="I48" s="34"/>
      <c r="J48" s="34"/>
      <c r="K48" s="34"/>
      <c r="L48" s="84"/>
      <c r="M48" s="34"/>
    </row>
    <row r="49" spans="1:13" x14ac:dyDescent="0.25">
      <c r="A49" s="34"/>
      <c r="B49" s="60"/>
      <c r="C49" s="85"/>
      <c r="D49" s="84"/>
      <c r="E49" s="84"/>
      <c r="F49" s="34"/>
      <c r="G49" s="34"/>
      <c r="H49" s="34"/>
      <c r="I49" s="34"/>
      <c r="J49" s="34"/>
      <c r="K49" s="34"/>
      <c r="L49" s="34"/>
      <c r="M49" s="34"/>
    </row>
    <row r="50" spans="1:13" x14ac:dyDescent="0.25">
      <c r="A50" s="34"/>
      <c r="B50" s="60"/>
      <c r="C50" s="85"/>
      <c r="D50" s="84"/>
      <c r="E50" s="84"/>
      <c r="F50" s="34"/>
      <c r="G50" s="34"/>
      <c r="H50" s="34"/>
      <c r="I50" s="34"/>
      <c r="J50" s="34"/>
      <c r="K50" s="34"/>
      <c r="L50" s="34"/>
      <c r="M50" s="34"/>
    </row>
    <row r="51" spans="1:13" x14ac:dyDescent="0.25">
      <c r="A51" s="34"/>
      <c r="B51" s="60"/>
      <c r="C51" s="60"/>
      <c r="D51" s="34"/>
      <c r="E51" s="54"/>
      <c r="F51" s="53"/>
      <c r="G51" s="53"/>
      <c r="H51" s="34"/>
      <c r="I51" s="34"/>
      <c r="J51" s="34"/>
      <c r="K51" s="34"/>
      <c r="L51" s="86"/>
      <c r="M51" s="34"/>
    </row>
    <row r="52" spans="1:13" x14ac:dyDescent="0.25">
      <c r="A52" s="34"/>
      <c r="B52" s="34"/>
      <c r="C52" s="34"/>
      <c r="D52" s="34"/>
      <c r="E52" s="34"/>
      <c r="F52" s="53"/>
      <c r="G52" s="53"/>
      <c r="H52" s="34"/>
      <c r="I52" s="34"/>
      <c r="J52" s="34"/>
      <c r="K52" s="34"/>
      <c r="L52" s="86"/>
      <c r="M52" s="34"/>
    </row>
    <row r="53" spans="1:13" x14ac:dyDescent="0.25">
      <c r="A53" s="34"/>
      <c r="B53" s="31"/>
      <c r="C53" s="53"/>
      <c r="D53" s="53" t="s">
        <v>48</v>
      </c>
      <c r="E53" s="53"/>
      <c r="F53" s="34"/>
      <c r="G53" s="54"/>
      <c r="H53" s="54"/>
      <c r="I53" s="34"/>
      <c r="J53" s="34"/>
      <c r="K53" s="34"/>
      <c r="L53" s="84"/>
      <c r="M53" s="34"/>
    </row>
    <row r="54" spans="1:13" x14ac:dyDescent="0.25">
      <c r="A54" s="27" t="s">
        <v>41</v>
      </c>
      <c r="B54" s="34" t="s">
        <v>13</v>
      </c>
      <c r="C54" s="53" t="s">
        <v>9</v>
      </c>
      <c r="D54" s="53" t="s">
        <v>44</v>
      </c>
      <c r="E54" s="53" t="s">
        <v>14</v>
      </c>
      <c r="F54" s="34"/>
      <c r="G54" s="53" t="s">
        <v>11</v>
      </c>
      <c r="H54" s="54"/>
      <c r="I54" s="34"/>
      <c r="J54" s="34"/>
      <c r="K54" s="34"/>
      <c r="L54" s="84"/>
      <c r="M54" s="34"/>
    </row>
    <row r="55" spans="1:13" x14ac:dyDescent="0.25">
      <c r="A55" s="34"/>
      <c r="B55" s="60" t="s">
        <v>75</v>
      </c>
      <c r="C55" s="85">
        <v>0</v>
      </c>
      <c r="D55" s="84">
        <f>IF(G55&gt;=0,0,IF(-$B$30*0.01&lt;G55,G55,-$B$30*0.01))</f>
        <v>0</v>
      </c>
      <c r="E55" s="84">
        <f t="shared" ref="E55:E59" si="7">+C55*D55</f>
        <v>0</v>
      </c>
      <c r="F55" s="67"/>
      <c r="G55" s="54">
        <f>+IF(B31&gt;0,0,B31)</f>
        <v>0</v>
      </c>
      <c r="H55" s="54"/>
      <c r="I55" s="34"/>
      <c r="J55" s="34"/>
      <c r="K55" s="34"/>
      <c r="L55" s="84"/>
      <c r="M55" s="34"/>
    </row>
    <row r="56" spans="1:13" x14ac:dyDescent="0.25">
      <c r="A56" s="34"/>
      <c r="B56" s="64" t="s">
        <v>55</v>
      </c>
      <c r="C56" s="85">
        <v>0.25</v>
      </c>
      <c r="D56" s="84">
        <f>IF(G56&gt;=0,0,IF(-$B$30*0.01&lt;G56,G56,-$B$30*0.01))</f>
        <v>0</v>
      </c>
      <c r="E56" s="84">
        <f>+C56*D56</f>
        <v>0</v>
      </c>
      <c r="F56" s="67"/>
      <c r="G56" s="54">
        <f>G55-D55</f>
        <v>0</v>
      </c>
      <c r="H56" s="54"/>
      <c r="I56" s="34"/>
      <c r="J56" s="34"/>
      <c r="K56" s="34"/>
      <c r="L56" s="84"/>
      <c r="M56" s="34"/>
    </row>
    <row r="57" spans="1:13" x14ac:dyDescent="0.25">
      <c r="A57" s="34"/>
      <c r="B57" s="65" t="s">
        <v>50</v>
      </c>
      <c r="C57" s="85">
        <v>0.5</v>
      </c>
      <c r="D57" s="84">
        <f>IF(G57&gt;=0,0,IF(-$B$30*0.01&lt;G57,G57,-$B$30*0.01))</f>
        <v>0</v>
      </c>
      <c r="E57" s="84">
        <f>+C57*D57</f>
        <v>0</v>
      </c>
      <c r="F57" s="67"/>
      <c r="G57" s="54">
        <f>G56-D56</f>
        <v>0</v>
      </c>
      <c r="H57" s="54"/>
      <c r="I57" s="34"/>
      <c r="J57" s="34"/>
      <c r="K57" s="34"/>
      <c r="L57" s="84"/>
      <c r="M57" s="34"/>
    </row>
    <row r="58" spans="1:13" x14ac:dyDescent="0.25">
      <c r="A58" s="34"/>
      <c r="B58" s="65" t="s">
        <v>51</v>
      </c>
      <c r="C58" s="85">
        <v>0.75</v>
      </c>
      <c r="D58" s="84">
        <f>IF(G58&gt;=0,0,IF(-$B$30*0.01&lt;G58,G58,$B$30*0.01))</f>
        <v>0</v>
      </c>
      <c r="E58" s="84">
        <f t="shared" si="7"/>
        <v>0</v>
      </c>
      <c r="F58" s="67"/>
      <c r="G58" s="54">
        <f>G57-D57</f>
        <v>0</v>
      </c>
      <c r="H58" s="54"/>
      <c r="I58" s="34"/>
      <c r="J58" s="34"/>
      <c r="K58" s="34"/>
      <c r="L58" s="84"/>
      <c r="M58" s="34"/>
    </row>
    <row r="59" spans="1:13" x14ac:dyDescent="0.25">
      <c r="A59" s="34"/>
      <c r="B59" s="60" t="s">
        <v>52</v>
      </c>
      <c r="C59" s="85">
        <v>1</v>
      </c>
      <c r="D59" s="84">
        <f>IF(G59&gt;=0,0,IF(-$B$30*0.96&lt;G59,G59,-$B$30*0.96))</f>
        <v>0</v>
      </c>
      <c r="E59" s="84">
        <f t="shared" si="7"/>
        <v>0</v>
      </c>
      <c r="F59" s="67"/>
      <c r="G59" s="54">
        <f>G58-D58</f>
        <v>0</v>
      </c>
      <c r="H59" s="54"/>
      <c r="I59" s="34"/>
      <c r="J59" s="34"/>
      <c r="K59" s="34"/>
      <c r="L59" s="34"/>
      <c r="M59" s="34"/>
    </row>
    <row r="60" spans="1:13" x14ac:dyDescent="0.25">
      <c r="A60" s="34"/>
      <c r="B60" s="60"/>
      <c r="C60" s="85"/>
      <c r="D60" s="84"/>
      <c r="E60" s="84"/>
      <c r="F60" s="34"/>
      <c r="G60" s="34"/>
      <c r="H60" s="54"/>
      <c r="I60" s="34"/>
      <c r="J60" s="34"/>
      <c r="K60" s="34"/>
      <c r="L60" s="34"/>
      <c r="M60" s="34"/>
    </row>
    <row r="61" spans="1:13" x14ac:dyDescent="0.25">
      <c r="A61" s="34"/>
      <c r="B61" s="60"/>
      <c r="C61" s="85"/>
      <c r="D61" s="84"/>
      <c r="E61" s="84"/>
      <c r="F61" s="34"/>
      <c r="G61" s="34"/>
      <c r="H61" s="34"/>
      <c r="I61" s="34"/>
      <c r="J61" s="34"/>
      <c r="K61" s="34"/>
      <c r="L61" s="34"/>
      <c r="M61" s="34"/>
    </row>
    <row r="62" spans="1:13" x14ac:dyDescent="0.25">
      <c r="A62" s="34"/>
      <c r="B62" s="60"/>
      <c r="C62" s="85"/>
      <c r="D62" s="84"/>
      <c r="E62" s="84"/>
      <c r="F62" s="34"/>
      <c r="G62" s="34"/>
      <c r="H62" s="34"/>
      <c r="I62" s="34"/>
      <c r="J62" s="34"/>
      <c r="K62" s="34"/>
      <c r="L62" s="34"/>
      <c r="M62" s="34"/>
    </row>
    <row r="63" spans="1:13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5">
      <c r="A64" s="63" t="s">
        <v>42</v>
      </c>
      <c r="F64" s="3"/>
    </row>
    <row r="65" spans="1:8" x14ac:dyDescent="0.25">
      <c r="A65" s="1" t="s">
        <v>78</v>
      </c>
      <c r="F65" s="3"/>
    </row>
    <row r="66" spans="1:8" x14ac:dyDescent="0.25">
      <c r="A66" s="4" t="s">
        <v>67</v>
      </c>
      <c r="F66" s="3"/>
    </row>
    <row r="67" spans="1:8" x14ac:dyDescent="0.25">
      <c r="A67" s="4" t="s">
        <v>59</v>
      </c>
      <c r="F67" s="6"/>
      <c r="G67" s="5"/>
      <c r="H67" s="5"/>
    </row>
    <row r="68" spans="1:8" x14ac:dyDescent="0.25">
      <c r="A68" s="4" t="s">
        <v>68</v>
      </c>
      <c r="F68" s="3"/>
    </row>
    <row r="69" spans="1:8" ht="15" customHeight="1" thickBot="1" x14ac:dyDescent="0.3">
      <c r="A69" s="7" t="s">
        <v>58</v>
      </c>
      <c r="B69" s="8"/>
      <c r="C69" s="8"/>
      <c r="D69" s="8"/>
      <c r="E69" s="8"/>
      <c r="F69" s="9"/>
    </row>
    <row r="70" spans="1:8" ht="12" customHeight="1" x14ac:dyDescent="0.25"/>
  </sheetData>
  <pageMargins left="0.75" right="0.75" top="1" bottom="1" header="0.5" footer="0.5"/>
  <pageSetup scale="32" orientation="landscape" r:id="rId1"/>
  <headerFooter alignWithMargins="0">
    <oddHeader xml:space="preserve">&amp;L&amp;G&amp;C&amp;"-,Bold"&amp;12&amp;K369992AHCCCS CONTRACTOR OPERATIONS MANUAL
 311 CYE 25 FWD - ATTACHMENT A -
ACC and ACC-RBHA PROGRAM TIERED RECONCILIATION - EXAMPLE
FOR THE CONTRACT YEAR ENDED 09/30/xx
AS OF: xx/xx/xx&amp;K2F8DCB
</oddHeader>
    <oddFooter>&amp;L&amp;"-,Regular"&amp;K369992Effective Dates: 10/01/22, 10/01/23, 10/01/24, 06/12/25, 10/01/26
Approval Dates: 08/04/22, 05/18/23, 05/14/24, 05/07/25, 09/01/26&amp;C&amp;"-,Bold"&amp;11&amp;K369992 311 CYE 25 FWD - Attachment A - Page &amp;P</oddFooter>
  </headerFooter>
  <ignoredErrors>
    <ignoredError sqref="L22" formula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7FDE-2034-4C9C-BAAE-724ED64E9612}">
  <sheetPr>
    <pageSetUpPr fitToPage="1"/>
  </sheetPr>
  <dimension ref="A1:P70"/>
  <sheetViews>
    <sheetView view="pageLayout" zoomScale="130" zoomScaleNormal="145" zoomScalePageLayoutView="130" workbookViewId="0">
      <selection activeCell="A2" sqref="A2"/>
    </sheetView>
  </sheetViews>
  <sheetFormatPr defaultColWidth="9.140625" defaultRowHeight="15" x14ac:dyDescent="0.25"/>
  <cols>
    <col min="1" max="1" width="88.85546875" style="2" customWidth="1"/>
    <col min="2" max="2" width="25.28515625" style="2" bestFit="1" customWidth="1"/>
    <col min="3" max="3" width="23.140625" style="2" bestFit="1" customWidth="1"/>
    <col min="4" max="4" width="23.28515625" style="2" bestFit="1" customWidth="1"/>
    <col min="5" max="7" width="22" style="2" bestFit="1" customWidth="1"/>
    <col min="8" max="8" width="22.85546875" style="2" bestFit="1" customWidth="1"/>
    <col min="9" max="9" width="22" style="2" bestFit="1" customWidth="1"/>
    <col min="10" max="10" width="23.5703125" style="2" bestFit="1" customWidth="1"/>
    <col min="11" max="11" width="22" style="2" bestFit="1" customWidth="1"/>
    <col min="12" max="12" width="19.42578125" style="2" customWidth="1"/>
    <col min="13" max="13" width="30.28515625" style="2" customWidth="1"/>
    <col min="14" max="14" width="20.140625" style="2" bestFit="1" customWidth="1"/>
    <col min="15" max="15" width="12.85546875" style="2" bestFit="1" customWidth="1"/>
    <col min="16" max="16" width="10.7109375" style="2" bestFit="1" customWidth="1"/>
    <col min="17" max="16384" width="9.140625" style="2"/>
  </cols>
  <sheetData>
    <row r="1" spans="1:16" ht="34.5" customHeight="1" x14ac:dyDescent="0.25">
      <c r="A1" s="12"/>
      <c r="B1" s="13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5" t="s">
        <v>21</v>
      </c>
      <c r="H1" s="15" t="s">
        <v>26</v>
      </c>
      <c r="I1" s="15" t="s">
        <v>27</v>
      </c>
      <c r="J1" s="15" t="s">
        <v>24</v>
      </c>
      <c r="K1" s="15" t="s">
        <v>25</v>
      </c>
      <c r="L1" s="15" t="s">
        <v>22</v>
      </c>
      <c r="M1" s="13" t="s">
        <v>0</v>
      </c>
    </row>
    <row r="2" spans="1:16" x14ac:dyDescent="0.25">
      <c r="A2" s="27"/>
      <c r="B2" s="28"/>
      <c r="C2" s="28"/>
      <c r="D2" s="68"/>
      <c r="E2" s="68"/>
      <c r="F2" s="28"/>
      <c r="G2" s="28"/>
      <c r="H2" s="69"/>
      <c r="I2" s="28"/>
      <c r="J2" s="28"/>
      <c r="K2" s="28"/>
      <c r="L2" s="28"/>
      <c r="M2" s="28"/>
    </row>
    <row r="3" spans="1:16" x14ac:dyDescent="0.25">
      <c r="A3" s="27" t="s">
        <v>30</v>
      </c>
      <c r="B3" s="28"/>
      <c r="C3" s="28"/>
      <c r="D3" s="68"/>
      <c r="E3" s="68"/>
      <c r="F3" s="28"/>
      <c r="G3" s="28"/>
      <c r="H3" s="69"/>
      <c r="I3" s="28"/>
      <c r="J3" s="28"/>
      <c r="K3" s="28"/>
      <c r="L3" s="28"/>
      <c r="M3" s="28"/>
    </row>
    <row r="4" spans="1:16" x14ac:dyDescent="0.25">
      <c r="A4" s="30" t="s">
        <v>1</v>
      </c>
      <c r="B4" s="31">
        <v>58400000</v>
      </c>
      <c r="C4" s="31">
        <v>128300000</v>
      </c>
      <c r="D4" s="31">
        <v>102700000</v>
      </c>
      <c r="E4" s="31">
        <v>41500000</v>
      </c>
      <c r="F4" s="31">
        <v>40000000</v>
      </c>
      <c r="G4" s="31">
        <v>29200000</v>
      </c>
      <c r="H4" s="31">
        <v>112300000</v>
      </c>
      <c r="I4" s="31">
        <v>60000000</v>
      </c>
      <c r="J4" s="31">
        <f>373600000</f>
        <v>373600000</v>
      </c>
      <c r="K4" s="31">
        <v>39600000</v>
      </c>
      <c r="L4" s="31">
        <v>0</v>
      </c>
      <c r="M4" s="31">
        <f>+SUM(B4:L4)</f>
        <v>985600000</v>
      </c>
    </row>
    <row r="5" spans="1:16" x14ac:dyDescent="0.25">
      <c r="A5" s="30" t="s">
        <v>15</v>
      </c>
      <c r="B5" s="31">
        <v>550000</v>
      </c>
      <c r="C5" s="31">
        <v>7532000</v>
      </c>
      <c r="D5" s="31">
        <v>15325000</v>
      </c>
      <c r="E5" s="31">
        <v>750000</v>
      </c>
      <c r="F5" s="31">
        <v>2555000</v>
      </c>
      <c r="G5" s="31">
        <v>0</v>
      </c>
      <c r="H5" s="31">
        <v>755000</v>
      </c>
      <c r="I5" s="31">
        <v>699000</v>
      </c>
      <c r="J5" s="31">
        <f>3577750</f>
        <v>3577750</v>
      </c>
      <c r="K5" s="31">
        <v>0</v>
      </c>
      <c r="L5" s="31"/>
      <c r="M5" s="31">
        <f>+SUM(B5:L5)</f>
        <v>31743750</v>
      </c>
    </row>
    <row r="6" spans="1:16" x14ac:dyDescent="0.25">
      <c r="A6" s="30" t="s">
        <v>2</v>
      </c>
      <c r="B6" s="31">
        <v>0</v>
      </c>
      <c r="C6" s="31">
        <v>0</v>
      </c>
      <c r="D6" s="31">
        <v>28400000</v>
      </c>
      <c r="E6" s="31">
        <v>0</v>
      </c>
      <c r="F6" s="31">
        <v>0</v>
      </c>
      <c r="G6" s="31">
        <v>100000</v>
      </c>
      <c r="H6" s="31">
        <v>700000</v>
      </c>
      <c r="I6" s="31">
        <v>0</v>
      </c>
      <c r="J6" s="31">
        <v>0</v>
      </c>
      <c r="K6" s="31">
        <v>0</v>
      </c>
      <c r="L6" s="31">
        <v>0</v>
      </c>
      <c r="M6" s="31">
        <f>+SUM(B6:L6)</f>
        <v>29200000</v>
      </c>
    </row>
    <row r="7" spans="1:16" x14ac:dyDescent="0.25">
      <c r="A7" s="70" t="s">
        <v>28</v>
      </c>
      <c r="B7" s="32">
        <f>9200000</f>
        <v>9200000</v>
      </c>
      <c r="C7" s="32">
        <v>4600000</v>
      </c>
      <c r="D7" s="32">
        <v>3300000</v>
      </c>
      <c r="E7" s="32">
        <v>4900000</v>
      </c>
      <c r="F7" s="32">
        <v>1300000</v>
      </c>
      <c r="G7" s="32">
        <v>300000</v>
      </c>
      <c r="H7" s="32">
        <v>21900000</v>
      </c>
      <c r="I7" s="32">
        <v>750000</v>
      </c>
      <c r="J7" s="32">
        <v>4950000</v>
      </c>
      <c r="K7" s="32">
        <v>0</v>
      </c>
      <c r="L7" s="32"/>
      <c r="M7" s="32">
        <f>SUM(B7:L7)</f>
        <v>51200000</v>
      </c>
    </row>
    <row r="8" spans="1:16" x14ac:dyDescent="0.25">
      <c r="A8" s="30" t="s">
        <v>3</v>
      </c>
      <c r="B8" s="31">
        <v>4400000</v>
      </c>
      <c r="C8" s="31">
        <v>9500000</v>
      </c>
      <c r="D8" s="31">
        <v>11342560</v>
      </c>
      <c r="E8" s="31">
        <v>3100000</v>
      </c>
      <c r="F8" s="31">
        <v>3100000</v>
      </c>
      <c r="G8" s="31">
        <v>2107840</v>
      </c>
      <c r="H8" s="31">
        <v>8254880</v>
      </c>
      <c r="I8" s="31">
        <v>2638400</v>
      </c>
      <c r="J8" s="31">
        <f>27900000</f>
        <v>27900000</v>
      </c>
      <c r="K8" s="31">
        <v>3084000</v>
      </c>
      <c r="L8" s="31">
        <v>0</v>
      </c>
      <c r="M8" s="31">
        <f>+SUM(B8:L8)</f>
        <v>75427680</v>
      </c>
      <c r="N8" s="11"/>
      <c r="O8" s="11"/>
      <c r="P8" s="11"/>
    </row>
    <row r="9" spans="1:16" x14ac:dyDescent="0.25">
      <c r="A9" s="30" t="s">
        <v>4</v>
      </c>
      <c r="B9" s="31">
        <f t="shared" ref="B9:L9" si="0">SUM(B4:B6,B7)*0.02</f>
        <v>1363000</v>
      </c>
      <c r="C9" s="31">
        <f t="shared" si="0"/>
        <v>2808640</v>
      </c>
      <c r="D9" s="31">
        <f t="shared" si="0"/>
        <v>2994500</v>
      </c>
      <c r="E9" s="31">
        <f t="shared" si="0"/>
        <v>943000</v>
      </c>
      <c r="F9" s="31">
        <f t="shared" si="0"/>
        <v>877100</v>
      </c>
      <c r="G9" s="31">
        <f t="shared" si="0"/>
        <v>592000</v>
      </c>
      <c r="H9" s="31">
        <f t="shared" si="0"/>
        <v>2713100</v>
      </c>
      <c r="I9" s="31">
        <f t="shared" si="0"/>
        <v>1228980</v>
      </c>
      <c r="J9" s="31">
        <f t="shared" si="0"/>
        <v>7642555</v>
      </c>
      <c r="K9" s="31">
        <f t="shared" si="0"/>
        <v>792000</v>
      </c>
      <c r="L9" s="31">
        <f t="shared" si="0"/>
        <v>0</v>
      </c>
      <c r="M9" s="31">
        <f>SUM(B9:L9)</f>
        <v>21954875</v>
      </c>
      <c r="O9" s="11"/>
    </row>
    <row r="10" spans="1:16" x14ac:dyDescent="0.25">
      <c r="A10" s="27" t="s">
        <v>29</v>
      </c>
      <c r="B10" s="32">
        <f t="shared" ref="B10:M10" si="1">SUM(B4:B6,B7)-B8-B9</f>
        <v>62387000</v>
      </c>
      <c r="C10" s="32">
        <f t="shared" si="1"/>
        <v>128123360</v>
      </c>
      <c r="D10" s="32">
        <f t="shared" si="1"/>
        <v>135387940</v>
      </c>
      <c r="E10" s="32">
        <f t="shared" si="1"/>
        <v>43107000</v>
      </c>
      <c r="F10" s="32">
        <f t="shared" si="1"/>
        <v>39877900</v>
      </c>
      <c r="G10" s="32">
        <f t="shared" si="1"/>
        <v>26900160</v>
      </c>
      <c r="H10" s="32">
        <f t="shared" si="1"/>
        <v>124687020</v>
      </c>
      <c r="I10" s="32">
        <f t="shared" si="1"/>
        <v>57581620</v>
      </c>
      <c r="J10" s="32">
        <f t="shared" si="1"/>
        <v>346585195</v>
      </c>
      <c r="K10" s="32">
        <f t="shared" si="1"/>
        <v>35724000</v>
      </c>
      <c r="L10" s="32">
        <f t="shared" si="1"/>
        <v>0</v>
      </c>
      <c r="M10" s="32">
        <f t="shared" si="1"/>
        <v>1000361195</v>
      </c>
    </row>
    <row r="11" spans="1:16" x14ac:dyDescent="0.25">
      <c r="A11" s="27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6" x14ac:dyDescent="0.25">
      <c r="A12" s="27" t="s">
        <v>32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x14ac:dyDescent="0.25">
      <c r="A13" s="30" t="s">
        <v>33</v>
      </c>
      <c r="B13" s="31">
        <f>58615000+10000000</f>
        <v>68615000</v>
      </c>
      <c r="C13" s="31">
        <f>109630000+27000000</f>
        <v>136630000</v>
      </c>
      <c r="D13" s="31">
        <f>126550000+15000000</f>
        <v>141550000</v>
      </c>
      <c r="E13" s="31">
        <f>41805000+12500000</f>
        <v>54305000</v>
      </c>
      <c r="F13" s="31">
        <v>43630000</v>
      </c>
      <c r="G13" s="31">
        <v>25935000</v>
      </c>
      <c r="H13" s="31">
        <f>113240000+12000000</f>
        <v>125240000</v>
      </c>
      <c r="I13" s="31">
        <f>45975000+15000000</f>
        <v>60975000</v>
      </c>
      <c r="J13" s="31">
        <f>225750900+10000000</f>
        <v>235750900</v>
      </c>
      <c r="K13" s="31">
        <v>1875000</v>
      </c>
      <c r="L13" s="31"/>
      <c r="M13" s="31">
        <f t="shared" ref="M13:M16" si="2">+SUM(B13:L13)</f>
        <v>894505900</v>
      </c>
      <c r="O13" s="11"/>
    </row>
    <row r="14" spans="1:16" x14ac:dyDescent="0.25">
      <c r="A14" s="30" t="s">
        <v>71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f t="shared" si="2"/>
        <v>0</v>
      </c>
      <c r="O14" s="11"/>
    </row>
    <row r="15" spans="1:16" x14ac:dyDescent="0.25">
      <c r="A15" s="30" t="s">
        <v>54</v>
      </c>
      <c r="B15" s="31">
        <v>1000000</v>
      </c>
      <c r="C15" s="31">
        <v>500000</v>
      </c>
      <c r="D15" s="31">
        <v>500000</v>
      </c>
      <c r="E15" s="31">
        <v>700000</v>
      </c>
      <c r="F15" s="31">
        <v>100000</v>
      </c>
      <c r="G15" s="31">
        <v>600000</v>
      </c>
      <c r="H15" s="31">
        <v>900000</v>
      </c>
      <c r="I15" s="31">
        <v>400000</v>
      </c>
      <c r="J15" s="31">
        <f>98850000</f>
        <v>98850000</v>
      </c>
      <c r="K15" s="31">
        <v>30000000</v>
      </c>
      <c r="L15" s="31">
        <v>0</v>
      </c>
      <c r="M15" s="31">
        <f t="shared" si="2"/>
        <v>133550000</v>
      </c>
    </row>
    <row r="16" spans="1:16" x14ac:dyDescent="0.25">
      <c r="A16" s="30" t="s">
        <v>5</v>
      </c>
      <c r="B16" s="31">
        <v>0</v>
      </c>
      <c r="C16" s="31">
        <v>0</v>
      </c>
      <c r="D16" s="31">
        <v>0</v>
      </c>
      <c r="E16" s="31">
        <v>1500</v>
      </c>
      <c r="F16" s="31">
        <v>25000</v>
      </c>
      <c r="G16" s="31">
        <v>0</v>
      </c>
      <c r="H16" s="31">
        <v>0</v>
      </c>
      <c r="I16" s="31">
        <v>0</v>
      </c>
      <c r="J16" s="31">
        <v>300000</v>
      </c>
      <c r="K16" s="31">
        <v>0</v>
      </c>
      <c r="L16" s="31"/>
      <c r="M16" s="31">
        <f t="shared" si="2"/>
        <v>326500</v>
      </c>
    </row>
    <row r="17" spans="1:14" x14ac:dyDescent="0.25">
      <c r="A17" s="27" t="s">
        <v>34</v>
      </c>
      <c r="B17" s="32">
        <f>SUM(B13:B15)-B16</f>
        <v>69615000</v>
      </c>
      <c r="C17" s="32">
        <f t="shared" ref="C17:M17" si="3">SUM(C13:C15)-C16</f>
        <v>137130000</v>
      </c>
      <c r="D17" s="32">
        <f t="shared" si="3"/>
        <v>142050000</v>
      </c>
      <c r="E17" s="32">
        <f t="shared" si="3"/>
        <v>55003500</v>
      </c>
      <c r="F17" s="32">
        <f t="shared" si="3"/>
        <v>43705000</v>
      </c>
      <c r="G17" s="32">
        <f t="shared" si="3"/>
        <v>26535000</v>
      </c>
      <c r="H17" s="32">
        <f t="shared" si="3"/>
        <v>126140000</v>
      </c>
      <c r="I17" s="32">
        <f t="shared" si="3"/>
        <v>61375000</v>
      </c>
      <c r="J17" s="32">
        <f t="shared" si="3"/>
        <v>334300900</v>
      </c>
      <c r="K17" s="32">
        <f t="shared" si="3"/>
        <v>31875000</v>
      </c>
      <c r="L17" s="32">
        <f t="shared" si="3"/>
        <v>0</v>
      </c>
      <c r="M17" s="32">
        <f t="shared" si="3"/>
        <v>1027729400</v>
      </c>
      <c r="N17" s="11"/>
    </row>
    <row r="18" spans="1:14" x14ac:dyDescent="0.25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4" x14ac:dyDescent="0.25">
      <c r="A19" s="27" t="s">
        <v>60</v>
      </c>
      <c r="B19" s="32">
        <f>B17*0.01</f>
        <v>696150</v>
      </c>
      <c r="C19" s="32">
        <f t="shared" ref="C19:L19" si="4">C17*0.01</f>
        <v>1371300</v>
      </c>
      <c r="D19" s="32">
        <f t="shared" si="4"/>
        <v>1420500</v>
      </c>
      <c r="E19" s="32">
        <f t="shared" si="4"/>
        <v>550035</v>
      </c>
      <c r="F19" s="32">
        <f t="shared" si="4"/>
        <v>437050</v>
      </c>
      <c r="G19" s="32">
        <f t="shared" si="4"/>
        <v>265350</v>
      </c>
      <c r="H19" s="32">
        <f t="shared" si="4"/>
        <v>1261400</v>
      </c>
      <c r="I19" s="32">
        <f t="shared" si="4"/>
        <v>613750</v>
      </c>
      <c r="J19" s="32">
        <f t="shared" si="4"/>
        <v>3343009</v>
      </c>
      <c r="K19" s="32"/>
      <c r="L19" s="32">
        <f t="shared" si="4"/>
        <v>0</v>
      </c>
      <c r="M19" s="32">
        <f>+SUM(B19:L19)</f>
        <v>9958544</v>
      </c>
    </row>
    <row r="20" spans="1:14" x14ac:dyDescent="0.25">
      <c r="A20" s="27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4" ht="36" customHeight="1" x14ac:dyDescent="0.25">
      <c r="A21" s="18" t="s">
        <v>76</v>
      </c>
      <c r="B21" s="19">
        <f>B10-B17-B19</f>
        <v>-7924150</v>
      </c>
      <c r="C21" s="19">
        <f t="shared" ref="C21:M21" si="5">C10-C17-C19</f>
        <v>-10377940</v>
      </c>
      <c r="D21" s="19">
        <f t="shared" si="5"/>
        <v>-8082560</v>
      </c>
      <c r="E21" s="19">
        <f t="shared" si="5"/>
        <v>-12446535</v>
      </c>
      <c r="F21" s="19">
        <f t="shared" si="5"/>
        <v>-4264150</v>
      </c>
      <c r="G21" s="19">
        <f t="shared" si="5"/>
        <v>99810</v>
      </c>
      <c r="H21" s="19">
        <f t="shared" si="5"/>
        <v>-2714380</v>
      </c>
      <c r="I21" s="19">
        <f t="shared" si="5"/>
        <v>-4407130</v>
      </c>
      <c r="J21" s="19">
        <f t="shared" si="5"/>
        <v>8941286</v>
      </c>
      <c r="K21" s="19">
        <f>K10-K17-K19</f>
        <v>3849000</v>
      </c>
      <c r="L21" s="19">
        <f t="shared" si="5"/>
        <v>0</v>
      </c>
      <c r="M21" s="19">
        <f t="shared" si="5"/>
        <v>-37326749</v>
      </c>
    </row>
    <row r="22" spans="1:14" x14ac:dyDescent="0.25">
      <c r="A22" s="27" t="s">
        <v>36</v>
      </c>
      <c r="B22" s="71">
        <f>B21/B10</f>
        <v>-0.12701604500937697</v>
      </c>
      <c r="C22" s="71">
        <f t="shared" ref="C22:K22" si="6">C21/C10</f>
        <v>-8.0999592892349995E-2</v>
      </c>
      <c r="D22" s="71">
        <f t="shared" si="6"/>
        <v>-5.9699261248823195E-2</v>
      </c>
      <c r="E22" s="71">
        <f t="shared" si="6"/>
        <v>-0.28873582016841814</v>
      </c>
      <c r="F22" s="71">
        <f t="shared" si="6"/>
        <v>-0.10693015429598851</v>
      </c>
      <c r="G22" s="71">
        <f t="shared" si="6"/>
        <v>3.7103868527176048E-3</v>
      </c>
      <c r="H22" s="71">
        <f t="shared" si="6"/>
        <v>-2.1769547463721565E-2</v>
      </c>
      <c r="I22" s="71">
        <f t="shared" si="6"/>
        <v>-7.6537096385964828E-2</v>
      </c>
      <c r="J22" s="71">
        <f t="shared" si="6"/>
        <v>2.5798234110952143E-2</v>
      </c>
      <c r="K22" s="71">
        <f t="shared" si="6"/>
        <v>0.10774269398723547</v>
      </c>
      <c r="L22" s="71">
        <f>IF(L10=0,0,L21/L10)</f>
        <v>0</v>
      </c>
      <c r="M22" s="71">
        <f>M21/M10</f>
        <v>-3.7313271632852571E-2</v>
      </c>
    </row>
    <row r="23" spans="1:14" x14ac:dyDescent="0.25">
      <c r="A23" s="34" t="s">
        <v>6</v>
      </c>
      <c r="B23" s="72">
        <v>150000</v>
      </c>
      <c r="C23" s="72">
        <v>1410000</v>
      </c>
      <c r="D23" s="72">
        <v>670000</v>
      </c>
      <c r="E23" s="72">
        <v>320000</v>
      </c>
      <c r="F23" s="72">
        <v>120000</v>
      </c>
      <c r="G23" s="72">
        <v>250000</v>
      </c>
      <c r="H23" s="72">
        <v>210000</v>
      </c>
      <c r="I23" s="72">
        <v>50000</v>
      </c>
      <c r="J23" s="72">
        <v>15000</v>
      </c>
      <c r="K23" s="72">
        <v>3195000</v>
      </c>
      <c r="L23" s="72"/>
      <c r="M23" s="72">
        <f>SUM(B23:J23)</f>
        <v>3195000</v>
      </c>
    </row>
    <row r="24" spans="1:14" x14ac:dyDescent="0.25">
      <c r="A24" s="34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4" x14ac:dyDescent="0.25">
      <c r="A25" s="27"/>
      <c r="B25" s="73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4"/>
    </row>
    <row r="26" spans="1:14" x14ac:dyDescent="0.25">
      <c r="A26" s="38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3"/>
      <c r="M26" s="76"/>
    </row>
    <row r="27" spans="1:14" x14ac:dyDescent="0.25">
      <c r="A27" s="27"/>
      <c r="B27" s="34"/>
      <c r="C27" s="40"/>
      <c r="D27" s="34"/>
      <c r="E27" s="34"/>
      <c r="F27" s="34"/>
      <c r="G27" s="34"/>
      <c r="H27" s="34"/>
      <c r="I27" s="34"/>
      <c r="J27" s="34"/>
      <c r="K27" s="34"/>
      <c r="L27" s="34"/>
      <c r="M27" s="31"/>
    </row>
    <row r="28" spans="1:14" x14ac:dyDescent="0.25">
      <c r="A28" s="25" t="s">
        <v>62</v>
      </c>
      <c r="D28" s="11"/>
      <c r="E28" s="11"/>
      <c r="F28" s="11"/>
      <c r="M28" s="11"/>
    </row>
    <row r="29" spans="1:14" x14ac:dyDescent="0.25">
      <c r="A29" s="27"/>
      <c r="B29" s="81"/>
      <c r="C29" s="81"/>
      <c r="D29" s="73"/>
      <c r="E29" s="34"/>
      <c r="F29" s="66"/>
      <c r="G29" s="66"/>
      <c r="H29" s="34"/>
      <c r="I29" s="34"/>
      <c r="J29" s="34"/>
      <c r="K29" s="34"/>
      <c r="L29" s="34"/>
      <c r="M29" s="34"/>
    </row>
    <row r="30" spans="1:14" x14ac:dyDescent="0.25">
      <c r="A30" s="45" t="s">
        <v>29</v>
      </c>
      <c r="B30" s="31">
        <f>M10</f>
        <v>1000361195</v>
      </c>
      <c r="C30" s="82"/>
      <c r="D30" s="31"/>
      <c r="E30" s="34"/>
      <c r="F30" s="34"/>
      <c r="G30" s="34"/>
      <c r="H30" s="34"/>
      <c r="I30" s="34"/>
      <c r="J30" s="34"/>
      <c r="K30" s="34"/>
      <c r="L30" s="34"/>
      <c r="M30" s="34"/>
    </row>
    <row r="31" spans="1:14" x14ac:dyDescent="0.25">
      <c r="A31" s="34" t="s">
        <v>7</v>
      </c>
      <c r="B31" s="31">
        <f>M21</f>
        <v>-37326749</v>
      </c>
      <c r="C31" s="31"/>
      <c r="D31" s="31"/>
      <c r="E31" s="34"/>
      <c r="F31" s="34"/>
      <c r="G31" s="34"/>
      <c r="H31" s="34"/>
      <c r="I31" s="34"/>
      <c r="J31" s="34"/>
      <c r="K31" s="34"/>
      <c r="L31" s="34"/>
      <c r="M31" s="34"/>
    </row>
    <row r="32" spans="1:14" x14ac:dyDescent="0.25">
      <c r="A32" s="34" t="s">
        <v>36</v>
      </c>
      <c r="B32" s="73">
        <f>B31/B30</f>
        <v>-3.7313271632852571E-2</v>
      </c>
      <c r="C32" s="31"/>
      <c r="D32" s="31"/>
      <c r="E32" s="31"/>
      <c r="F32" s="34"/>
      <c r="G32" s="34"/>
      <c r="H32" s="34"/>
      <c r="I32" s="34"/>
      <c r="J32" s="34"/>
      <c r="K32" s="34"/>
      <c r="L32" s="34"/>
      <c r="M32" s="34"/>
    </row>
    <row r="33" spans="1:13" x14ac:dyDescent="0.25">
      <c r="A33" s="34"/>
      <c r="B33" s="31"/>
      <c r="C33" s="31"/>
      <c r="D33" s="31"/>
      <c r="E33" s="34"/>
      <c r="F33" s="34"/>
      <c r="G33" s="34"/>
      <c r="H33" s="34"/>
      <c r="I33" s="34"/>
      <c r="J33" s="34"/>
      <c r="K33" s="34"/>
      <c r="L33" s="34"/>
      <c r="M33" s="34"/>
    </row>
    <row r="34" spans="1:13" x14ac:dyDescent="0.25">
      <c r="A34" s="34"/>
      <c r="B34" s="83"/>
      <c r="C34" s="31"/>
      <c r="D34" s="31"/>
      <c r="E34" s="34"/>
      <c r="F34" s="34"/>
      <c r="G34" s="34"/>
      <c r="H34" s="34"/>
      <c r="I34" s="34"/>
      <c r="J34" s="34"/>
      <c r="K34" s="34"/>
      <c r="L34" s="34"/>
      <c r="M34" s="34"/>
    </row>
    <row r="35" spans="1:13" x14ac:dyDescent="0.25">
      <c r="A35" s="34"/>
      <c r="B35" s="34"/>
      <c r="C35" s="34"/>
      <c r="D35" s="31"/>
      <c r="E35" s="31"/>
      <c r="F35" s="34"/>
      <c r="G35" s="34"/>
      <c r="H35" s="34"/>
      <c r="I35" s="34"/>
      <c r="J35" s="34"/>
      <c r="K35" s="34"/>
      <c r="L35" s="34"/>
      <c r="M35" s="34"/>
    </row>
    <row r="36" spans="1:13" x14ac:dyDescent="0.25">
      <c r="A36" s="27" t="s">
        <v>69</v>
      </c>
      <c r="B36" s="31">
        <f>IF(B31&gt;0,-SUM(E45:E48),-SUM(E55:E59))</f>
        <v>12989643.824999996</v>
      </c>
      <c r="C36" s="31"/>
      <c r="D36" s="31"/>
      <c r="E36" s="31"/>
      <c r="F36" s="31"/>
      <c r="G36" s="34"/>
      <c r="H36" s="34"/>
      <c r="I36" s="31"/>
      <c r="J36" s="31"/>
      <c r="K36" s="31"/>
      <c r="L36" s="34"/>
      <c r="M36" s="34"/>
    </row>
    <row r="37" spans="1:13" x14ac:dyDescent="0.25">
      <c r="A37" s="27"/>
      <c r="B37" s="31"/>
      <c r="C37" s="34"/>
      <c r="D37" s="31"/>
      <c r="E37" s="31"/>
      <c r="F37" s="34"/>
      <c r="G37" s="34"/>
      <c r="H37" s="34"/>
      <c r="I37" s="31"/>
      <c r="J37" s="31"/>
      <c r="K37" s="31"/>
      <c r="L37" s="34"/>
      <c r="M37" s="34"/>
    </row>
    <row r="38" spans="1:13" x14ac:dyDescent="0.25">
      <c r="A38" s="27" t="s">
        <v>72</v>
      </c>
      <c r="B38" s="31"/>
      <c r="C38" s="34"/>
      <c r="D38" s="31"/>
      <c r="E38" s="31"/>
      <c r="F38" s="34"/>
      <c r="G38" s="34"/>
      <c r="H38" s="34"/>
      <c r="I38" s="34"/>
      <c r="J38" s="34"/>
      <c r="K38" s="34"/>
      <c r="L38" s="34"/>
      <c r="M38" s="34"/>
    </row>
    <row r="39" spans="1:13" x14ac:dyDescent="0.25">
      <c r="A39" s="51"/>
      <c r="B39" s="31"/>
      <c r="C39" s="34"/>
      <c r="D39" s="31"/>
      <c r="E39" s="31"/>
      <c r="F39" s="34"/>
      <c r="G39" s="34"/>
      <c r="H39" s="34"/>
      <c r="I39" s="34"/>
      <c r="J39" s="34"/>
      <c r="K39" s="34"/>
      <c r="L39" s="34"/>
      <c r="M39" s="34"/>
    </row>
    <row r="40" spans="1:13" x14ac:dyDescent="0.25">
      <c r="A40" s="27" t="s">
        <v>39</v>
      </c>
      <c r="B40" s="31">
        <f>SUM(B36,B38)/0.98-SUM(B36,B38)</f>
        <v>265094.77193877473</v>
      </c>
      <c r="C40" s="52"/>
      <c r="D40" s="31"/>
      <c r="E40" s="34"/>
      <c r="F40" s="34"/>
      <c r="G40" s="34"/>
      <c r="H40" s="34"/>
      <c r="I40" s="34"/>
      <c r="J40" s="34"/>
      <c r="K40" s="34"/>
      <c r="L40" s="34"/>
      <c r="M40" s="34"/>
    </row>
    <row r="41" spans="1:13" x14ac:dyDescent="0.25">
      <c r="A41" s="27" t="s">
        <v>73</v>
      </c>
      <c r="B41" s="31">
        <f>SUM(B36+B38+B40)</f>
        <v>13254738.59693877</v>
      </c>
      <c r="C41" s="34"/>
      <c r="D41" s="34"/>
      <c r="E41" s="34"/>
      <c r="F41" s="53"/>
      <c r="G41" s="53"/>
      <c r="H41" s="34"/>
      <c r="I41" s="34"/>
      <c r="J41" s="34"/>
      <c r="K41" s="34"/>
      <c r="L41" s="34"/>
      <c r="M41" s="34"/>
    </row>
    <row r="42" spans="1:13" x14ac:dyDescent="0.25">
      <c r="A42" s="34"/>
      <c r="B42" s="34"/>
      <c r="C42" s="34"/>
      <c r="D42" s="34"/>
      <c r="E42" s="34"/>
      <c r="F42" s="53"/>
      <c r="G42" s="53"/>
      <c r="H42" s="34"/>
      <c r="I42" s="34"/>
      <c r="J42" s="34"/>
      <c r="K42" s="34"/>
      <c r="L42" s="53"/>
      <c r="M42" s="34"/>
    </row>
    <row r="43" spans="1:13" x14ac:dyDescent="0.25">
      <c r="A43" s="34"/>
      <c r="B43" s="31"/>
      <c r="C43" s="53"/>
      <c r="D43" s="53" t="s">
        <v>70</v>
      </c>
      <c r="E43" s="53"/>
      <c r="F43" s="34"/>
      <c r="G43" s="54"/>
      <c r="H43" s="54"/>
      <c r="I43" s="34"/>
      <c r="J43" s="34"/>
      <c r="K43" s="34"/>
      <c r="L43" s="84"/>
      <c r="M43" s="34"/>
    </row>
    <row r="44" spans="1:13" x14ac:dyDescent="0.25">
      <c r="A44" s="27" t="s">
        <v>41</v>
      </c>
      <c r="B44" s="34" t="s">
        <v>8</v>
      </c>
      <c r="C44" s="53" t="s">
        <v>9</v>
      </c>
      <c r="D44" s="53" t="s">
        <v>44</v>
      </c>
      <c r="E44" s="53" t="s">
        <v>10</v>
      </c>
      <c r="F44" s="34"/>
      <c r="G44" s="53" t="s">
        <v>11</v>
      </c>
      <c r="H44" s="54"/>
      <c r="I44" s="34"/>
      <c r="J44" s="34"/>
      <c r="K44" s="34"/>
      <c r="L44" s="84"/>
      <c r="M44" s="34"/>
    </row>
    <row r="45" spans="1:13" x14ac:dyDescent="0.25">
      <c r="A45" s="34"/>
      <c r="B45" s="60" t="s">
        <v>12</v>
      </c>
      <c r="C45" s="85">
        <v>0</v>
      </c>
      <c r="D45" s="84">
        <f>IF(G45&lt;=0,0,IF($B$30*0.02&gt;G45,G45,$B$30*0.02))</f>
        <v>0</v>
      </c>
      <c r="E45" s="84">
        <f>+C45*D45</f>
        <v>0</v>
      </c>
      <c r="F45" s="34"/>
      <c r="G45" s="54">
        <f>+IF(B31&lt;0,0,B31)</f>
        <v>0</v>
      </c>
      <c r="H45" s="83"/>
      <c r="I45" s="34"/>
      <c r="J45" s="34"/>
      <c r="K45" s="34"/>
      <c r="L45" s="84"/>
      <c r="M45" s="34"/>
    </row>
    <row r="46" spans="1:13" x14ac:dyDescent="0.25">
      <c r="A46" s="34"/>
      <c r="B46" s="60" t="s">
        <v>46</v>
      </c>
      <c r="C46" s="85">
        <v>0.25</v>
      </c>
      <c r="D46" s="84">
        <f>IF(G46&lt;=0,0,IF($B$30*0.02&gt;G46,G46,$B$30*0.02))</f>
        <v>0</v>
      </c>
      <c r="E46" s="84">
        <f>+C46*D46</f>
        <v>0</v>
      </c>
      <c r="F46" s="34"/>
      <c r="G46" s="54">
        <f>+G45-D45</f>
        <v>0</v>
      </c>
      <c r="H46" s="54"/>
      <c r="I46" s="34"/>
      <c r="J46" s="34"/>
      <c r="K46" s="34"/>
      <c r="L46" s="84"/>
      <c r="M46" s="34"/>
    </row>
    <row r="47" spans="1:13" x14ac:dyDescent="0.25">
      <c r="A47" s="34"/>
      <c r="B47" s="60" t="s">
        <v>53</v>
      </c>
      <c r="C47" s="85">
        <v>0.75</v>
      </c>
      <c r="D47" s="84">
        <f>IF(G47&lt;=0,0,IF($B$30*0.03&gt;G47,G47,$B$30*0.03))</f>
        <v>0</v>
      </c>
      <c r="E47" s="84">
        <f>+C47*D47</f>
        <v>0</v>
      </c>
      <c r="F47" s="34"/>
      <c r="G47" s="54">
        <f>+G46-D46</f>
        <v>0</v>
      </c>
      <c r="H47" s="54"/>
      <c r="I47" s="34"/>
      <c r="J47" s="34"/>
      <c r="K47" s="34"/>
      <c r="L47" s="84"/>
      <c r="M47" s="34"/>
    </row>
    <row r="48" spans="1:13" x14ac:dyDescent="0.25">
      <c r="A48" s="34"/>
      <c r="B48" s="60" t="s">
        <v>45</v>
      </c>
      <c r="C48" s="85">
        <v>1</v>
      </c>
      <c r="D48" s="84">
        <f>IF(G48&lt;=0,0,IF($B$30*0.93&gt;G48,G48,$B$30*0.93))</f>
        <v>0</v>
      </c>
      <c r="E48" s="84">
        <f>+C48*D48</f>
        <v>0</v>
      </c>
      <c r="F48" s="34"/>
      <c r="G48" s="54">
        <f>+G47-D47</f>
        <v>0</v>
      </c>
      <c r="H48" s="54"/>
      <c r="I48" s="34"/>
      <c r="J48" s="34"/>
      <c r="K48" s="34"/>
      <c r="L48" s="84"/>
      <c r="M48" s="34"/>
    </row>
    <row r="49" spans="1:13" x14ac:dyDescent="0.25">
      <c r="A49" s="34"/>
      <c r="B49" s="60"/>
      <c r="C49" s="85"/>
      <c r="D49" s="84"/>
      <c r="E49" s="84"/>
      <c r="F49" s="34"/>
      <c r="G49" s="34"/>
      <c r="H49" s="34"/>
      <c r="I49" s="34"/>
      <c r="J49" s="34"/>
      <c r="K49" s="34"/>
      <c r="L49" s="34"/>
      <c r="M49" s="34"/>
    </row>
    <row r="50" spans="1:13" x14ac:dyDescent="0.25">
      <c r="A50" s="34"/>
      <c r="B50" s="60"/>
      <c r="C50" s="85"/>
      <c r="D50" s="84"/>
      <c r="E50" s="84"/>
      <c r="F50" s="34"/>
      <c r="G50" s="34"/>
      <c r="H50" s="34"/>
      <c r="I50" s="34"/>
      <c r="J50" s="34"/>
      <c r="K50" s="34"/>
      <c r="L50" s="34"/>
      <c r="M50" s="34"/>
    </row>
    <row r="51" spans="1:13" x14ac:dyDescent="0.25">
      <c r="A51" s="34"/>
      <c r="B51" s="60"/>
      <c r="C51" s="60"/>
      <c r="D51" s="34"/>
      <c r="E51" s="54"/>
      <c r="F51" s="53"/>
      <c r="G51" s="53"/>
      <c r="H51" s="34"/>
      <c r="I51" s="34"/>
      <c r="J51" s="34"/>
      <c r="K51" s="34"/>
      <c r="L51" s="86"/>
      <c r="M51" s="34"/>
    </row>
    <row r="52" spans="1:13" x14ac:dyDescent="0.25">
      <c r="A52" s="34"/>
      <c r="B52" s="34"/>
      <c r="C52" s="34"/>
      <c r="D52" s="34"/>
      <c r="E52" s="34"/>
      <c r="F52" s="53"/>
      <c r="G52" s="53"/>
      <c r="H52" s="34"/>
      <c r="I52" s="34"/>
      <c r="J52" s="34"/>
      <c r="K52" s="34"/>
      <c r="L52" s="86"/>
      <c r="M52" s="34"/>
    </row>
    <row r="53" spans="1:13" x14ac:dyDescent="0.25">
      <c r="A53" s="34"/>
      <c r="B53" s="31"/>
      <c r="C53" s="53"/>
      <c r="D53" s="53" t="s">
        <v>48</v>
      </c>
      <c r="E53" s="53"/>
      <c r="F53" s="34"/>
      <c r="G53" s="54"/>
      <c r="H53" s="54"/>
      <c r="I53" s="34"/>
      <c r="J53" s="34"/>
      <c r="K53" s="34"/>
      <c r="L53" s="84"/>
      <c r="M53" s="34"/>
    </row>
    <row r="54" spans="1:13" x14ac:dyDescent="0.25">
      <c r="A54" s="27" t="s">
        <v>74</v>
      </c>
      <c r="B54" s="34" t="s">
        <v>13</v>
      </c>
      <c r="C54" s="53" t="s">
        <v>9</v>
      </c>
      <c r="D54" s="53" t="s">
        <v>44</v>
      </c>
      <c r="E54" s="53" t="s">
        <v>14</v>
      </c>
      <c r="F54" s="34"/>
      <c r="G54" s="53" t="s">
        <v>11</v>
      </c>
      <c r="H54" s="54"/>
      <c r="I54" s="34"/>
      <c r="J54" s="34"/>
      <c r="K54" s="34"/>
      <c r="L54" s="84"/>
      <c r="M54" s="34"/>
    </row>
    <row r="55" spans="1:13" x14ac:dyDescent="0.25">
      <c r="A55" s="34"/>
      <c r="B55" s="60">
        <v>0.01</v>
      </c>
      <c r="C55" s="85">
        <v>0</v>
      </c>
      <c r="D55" s="84">
        <f>IF(G55&gt;=0,0,IF(-$B$30*0.01&lt;G55,G55,-$B$30*0.01))</f>
        <v>-10003611.950000001</v>
      </c>
      <c r="E55" s="84">
        <f t="shared" ref="E55:E59" si="7">+C55*D55</f>
        <v>0</v>
      </c>
      <c r="F55" s="34"/>
      <c r="G55" s="54">
        <f>+IF(B31&gt;0,0,B31)</f>
        <v>-37326749</v>
      </c>
      <c r="H55" s="54"/>
      <c r="I55" s="34"/>
      <c r="J55" s="34"/>
      <c r="K55" s="34"/>
      <c r="L55" s="84"/>
      <c r="M55" s="34"/>
    </row>
    <row r="56" spans="1:13" x14ac:dyDescent="0.25">
      <c r="A56" s="34"/>
      <c r="B56" s="64" t="s">
        <v>55</v>
      </c>
      <c r="C56" s="85">
        <v>0.25</v>
      </c>
      <c r="D56" s="84">
        <f>IF(G56&gt;=0,0,IF(-$B$30*0.01&lt;G56,G56,-$B$30*0.01))</f>
        <v>-10003611.950000001</v>
      </c>
      <c r="E56" s="84">
        <f>+C56*D56</f>
        <v>-2500902.9875000003</v>
      </c>
      <c r="F56" s="34"/>
      <c r="G56" s="54">
        <f>G55-D55</f>
        <v>-27323137.049999997</v>
      </c>
      <c r="H56" s="54"/>
      <c r="I56" s="34"/>
      <c r="J56" s="34"/>
      <c r="K56" s="34"/>
      <c r="L56" s="84"/>
      <c r="M56" s="34"/>
    </row>
    <row r="57" spans="1:13" x14ac:dyDescent="0.25">
      <c r="A57" s="34"/>
      <c r="B57" s="65" t="s">
        <v>50</v>
      </c>
      <c r="C57" s="85">
        <v>0.5</v>
      </c>
      <c r="D57" s="84">
        <f>IF(G57&gt;=0,0,IF(-$B$30*0.01&lt;G57,G57,-$B$30*0.01))</f>
        <v>-10003611.950000001</v>
      </c>
      <c r="E57" s="84">
        <f>+C57*D57</f>
        <v>-5001805.9750000006</v>
      </c>
      <c r="F57" s="34"/>
      <c r="G57" s="54">
        <f>G56-D56</f>
        <v>-17319525.099999994</v>
      </c>
      <c r="H57" s="54"/>
      <c r="I57" s="34"/>
      <c r="J57" s="34"/>
      <c r="K57" s="34"/>
      <c r="L57" s="84"/>
      <c r="M57" s="34"/>
    </row>
    <row r="58" spans="1:13" x14ac:dyDescent="0.25">
      <c r="A58" s="34"/>
      <c r="B58" s="65" t="s">
        <v>51</v>
      </c>
      <c r="C58" s="85">
        <v>0.75</v>
      </c>
      <c r="D58" s="84">
        <f>IF(G58&gt;=0,0,IF(-$B$30*0.01&lt;G58,G58,$B$30*0.01))</f>
        <v>-7315913.1499999929</v>
      </c>
      <c r="E58" s="84">
        <f t="shared" si="7"/>
        <v>-5486934.8624999952</v>
      </c>
      <c r="F58" s="34"/>
      <c r="G58" s="54">
        <f>G57-D57</f>
        <v>-7315913.1499999929</v>
      </c>
      <c r="H58" s="54"/>
      <c r="I58" s="34"/>
      <c r="J58" s="34"/>
      <c r="K58" s="34"/>
      <c r="L58" s="84"/>
      <c r="M58" s="34"/>
    </row>
    <row r="59" spans="1:13" x14ac:dyDescent="0.25">
      <c r="A59" s="34"/>
      <c r="B59" s="60" t="s">
        <v>52</v>
      </c>
      <c r="C59" s="85">
        <v>1</v>
      </c>
      <c r="D59" s="84">
        <f>IF(G59&gt;=0,0,IF(-$B$30*0.96&lt;G59,G59,-$B$30*0.96))</f>
        <v>0</v>
      </c>
      <c r="E59" s="84">
        <f t="shared" si="7"/>
        <v>0</v>
      </c>
      <c r="F59" s="34"/>
      <c r="G59" s="54">
        <f>G58-D58</f>
        <v>0</v>
      </c>
      <c r="H59" s="54"/>
      <c r="I59" s="34"/>
      <c r="J59" s="34"/>
      <c r="K59" s="34"/>
      <c r="L59" s="34"/>
      <c r="M59" s="34"/>
    </row>
    <row r="60" spans="1:13" x14ac:dyDescent="0.25">
      <c r="A60" s="34"/>
      <c r="B60" s="60"/>
      <c r="C60" s="85"/>
      <c r="D60" s="84"/>
      <c r="E60" s="84"/>
      <c r="F60" s="34"/>
      <c r="G60" s="34"/>
      <c r="H60" s="54"/>
      <c r="I60" s="34"/>
      <c r="J60" s="34"/>
      <c r="K60" s="34"/>
      <c r="L60" s="34"/>
      <c r="M60" s="34"/>
    </row>
    <row r="61" spans="1:13" x14ac:dyDescent="0.25">
      <c r="A61" s="34"/>
      <c r="B61" s="60"/>
      <c r="C61" s="85"/>
      <c r="D61" s="84"/>
      <c r="E61" s="84"/>
      <c r="F61" s="34"/>
      <c r="G61" s="34"/>
      <c r="H61" s="34"/>
      <c r="I61" s="34"/>
      <c r="J61" s="34"/>
      <c r="K61" s="34"/>
      <c r="L61" s="34"/>
      <c r="M61" s="34"/>
    </row>
    <row r="62" spans="1:13" x14ac:dyDescent="0.25">
      <c r="A62" s="34"/>
      <c r="B62" s="60"/>
      <c r="C62" s="85"/>
      <c r="D62" s="84"/>
      <c r="E62" s="84"/>
      <c r="F62" s="34"/>
      <c r="G62" s="34"/>
      <c r="H62" s="34"/>
      <c r="I62" s="34"/>
      <c r="J62" s="34"/>
      <c r="K62" s="34"/>
      <c r="L62" s="34"/>
      <c r="M62" s="34"/>
    </row>
    <row r="63" spans="1:13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5">
      <c r="A64" s="63" t="s">
        <v>42</v>
      </c>
      <c r="F64" s="3"/>
    </row>
    <row r="65" spans="1:6" x14ac:dyDescent="0.25">
      <c r="A65" s="1" t="s">
        <v>77</v>
      </c>
      <c r="F65" s="3"/>
    </row>
    <row r="66" spans="1:6" x14ac:dyDescent="0.25">
      <c r="A66" s="4" t="s">
        <v>67</v>
      </c>
      <c r="F66" s="3"/>
    </row>
    <row r="67" spans="1:6" x14ac:dyDescent="0.25">
      <c r="A67" s="4" t="s">
        <v>59</v>
      </c>
      <c r="F67" s="3"/>
    </row>
    <row r="68" spans="1:6" x14ac:dyDescent="0.25">
      <c r="A68" s="4" t="s">
        <v>68</v>
      </c>
      <c r="F68" s="3"/>
    </row>
    <row r="69" spans="1:6" ht="15" customHeight="1" thickBot="1" x14ac:dyDescent="0.3">
      <c r="A69" s="7" t="s">
        <v>58</v>
      </c>
      <c r="B69" s="8"/>
      <c r="C69" s="8"/>
      <c r="D69" s="8"/>
      <c r="E69" s="8"/>
      <c r="F69" s="9"/>
    </row>
    <row r="70" spans="1:6" ht="12" customHeight="1" x14ac:dyDescent="0.25"/>
  </sheetData>
  <pageMargins left="0.75" right="0.75" top="1" bottom="1" header="0.5" footer="0.5"/>
  <pageSetup scale="32" orientation="landscape" r:id="rId1"/>
  <headerFooter alignWithMargins="0">
    <oddHeader xml:space="preserve">&amp;L&amp;G&amp;C&amp;"-,Bold"&amp;12&amp;K369992AHCCCS CONTRACTOR OPERATIONS MANUAL
 311 CYE 25 FWD - ATTACHMENT A -
ACC and ACC-RBHA PROGRAM TIERED RECONCILIATION - EXAMPLE
FOR THE CONTRACT YEAR ENDED 09/30/xx
AS OF: xx/xx/xx
&amp;K2F8DCB
</oddHeader>
    <oddFooter>&amp;L&amp;"-,Regular"&amp;K369992Effective Dates: 10/01/22, 10/01/23, 10/01/24, 06/12/25, 10/01/26
Approval Dates: 08/04/22, 05/18/23, 05/14/24, 05/07/25, 09/01/26&amp;C&amp;"-,Bold"&amp;11&amp;K369992 311 CYE 25 FWD - Attachment A - Page &amp;P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E01FB5D-EFCF-432E-A42B-AF7876B7DF54}"/>
</file>

<file path=customXml/itemProps2.xml><?xml version="1.0" encoding="utf-8"?>
<ds:datastoreItem xmlns:ds="http://schemas.openxmlformats.org/officeDocument/2006/customXml" ds:itemID="{27F3AC1A-0799-419B-9FE4-EF6B9525D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A2CC9-80BC-4271-81AF-F5775CE73B7C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fa328e85-1231-4692-ab8d-fba2a139eb09"/>
    <ds:schemaRef ds:uri="http://purl.org/dc/dcmitype/"/>
    <ds:schemaRef ds:uri="52a80b62-27cb-4b8e-ad5c-9ed813b8c946"/>
    <ds:schemaRef ds:uri="0c2df177-cbb8-4d93-bfbc-f08deed2942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Reconciliation Template</vt:lpstr>
      <vt:lpstr>Recon Example Calc-Profit</vt:lpstr>
      <vt:lpstr>Recon Example Calc-Loss</vt:lpstr>
    </vt:vector>
  </TitlesOfParts>
  <Company>AHCCCS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ACOM POLICY 311 ATTACHMENT A</dc:title>
  <dc:creator>Voogd, Leanna</dc:creator>
  <cp:lastModifiedBy>Paredes, Maria</cp:lastModifiedBy>
  <cp:lastPrinted>2024-05-17T01:28:33Z</cp:lastPrinted>
  <dcterms:created xsi:type="dcterms:W3CDTF">2018-09-13T04:33:40Z</dcterms:created>
  <dcterms:modified xsi:type="dcterms:W3CDTF">2026-09-08T18:37:04Z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APC">
    <vt:bool>false</vt:bool>
  </property>
  <property fmtid="{D5CDD505-2E9C-101B-9397-08002B2CF9AE}" pid="4" name="APC0">
    <vt:bool>false</vt:bool>
  </property>
  <property fmtid="{D5CDD505-2E9C-101B-9397-08002B2CF9AE}" pid="5" name="Checked Out">
    <vt:bool>false</vt:bool>
  </property>
  <property fmtid="{D5CDD505-2E9C-101B-9397-08002B2CF9AE}" pid="6" name="AD Alternate 2">
    <vt:lpwstr/>
  </property>
  <property fmtid="{D5CDD505-2E9C-101B-9397-08002B2CF9AE}" pid="7" name="AD Alternate 1">
    <vt:lpwstr/>
  </property>
  <property fmtid="{D5CDD505-2E9C-101B-9397-08002B2CF9AE}" pid="8" name="AD1">
    <vt:lpwstr/>
  </property>
  <property fmtid="{D5CDD505-2E9C-101B-9397-08002B2CF9AE}" pid="9" name="IntWorkflow">
    <vt:lpwstr/>
  </property>
  <property fmtid="{D5CDD505-2E9C-101B-9397-08002B2CF9AE}" pid="10" name="AD2">
    <vt:lpwstr/>
  </property>
  <property fmtid="{D5CDD505-2E9C-101B-9397-08002B2CF9AE}" pid="11" name="Urgent">
    <vt:bool>false</vt:bool>
  </property>
  <property fmtid="{D5CDD505-2E9C-101B-9397-08002B2CF9AE}" pid="12" name="AD2Action">
    <vt:lpwstr/>
  </property>
  <property fmtid="{D5CDD505-2E9C-101B-9397-08002B2CF9AE}" pid="13" name="Order">
    <vt:r8>215100</vt:r8>
  </property>
  <property fmtid="{D5CDD505-2E9C-101B-9397-08002B2CF9AE}" pid="14" name="CommentsAD">
    <vt:lpwstr/>
  </property>
  <property fmtid="{D5CDD505-2E9C-101B-9397-08002B2CF9AE}" pid="15" name="Lead">
    <vt:lpwstr/>
  </property>
  <property fmtid="{D5CDD505-2E9C-101B-9397-08002B2CF9AE}" pid="16" name="NotifyAD2">
    <vt:lpwstr/>
  </property>
  <property fmtid="{D5CDD505-2E9C-101B-9397-08002B2CF9AE}" pid="17" name="Archive">
    <vt:lpwstr/>
  </property>
  <property fmtid="{D5CDD505-2E9C-101B-9397-08002B2CF9AE}" pid="18" name="xd_ProgID">
    <vt:lpwstr/>
  </property>
  <property fmtid="{D5CDD505-2E9C-101B-9397-08002B2CF9AE}" pid="19" name="DocumentSetDescription">
    <vt:lpwstr/>
  </property>
  <property fmtid="{D5CDD505-2E9C-101B-9397-08002B2CF9AE}" pid="20" name="AMPMChapter">
    <vt:lpwstr/>
  </property>
  <property fmtid="{D5CDD505-2E9C-101B-9397-08002B2CF9AE}" pid="21" name="AD1Action">
    <vt:lpwstr/>
  </property>
  <property fmtid="{D5CDD505-2E9C-101B-9397-08002B2CF9AE}" pid="22" name="AMPM Chapter test">
    <vt:lpwstr/>
  </property>
  <property fmtid="{D5CDD505-2E9C-101B-9397-08002B2CF9AE}" pid="23" name="Policy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TCN PC">
    <vt:lpwstr/>
  </property>
  <property fmtid="{D5CDD505-2E9C-101B-9397-08002B2CF9AE}" pid="27" name="Analyst">
    <vt:lpwstr/>
  </property>
  <property fmtid="{D5CDD505-2E9C-101B-9397-08002B2CF9AE}" pid="28" name="NotifyAD1">
    <vt:lpwstr/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PolStatus0">
    <vt:lpwstr/>
  </property>
  <property fmtid="{D5CDD505-2E9C-101B-9397-08002B2CF9AE}" pid="32" name="Policy Status">
    <vt:lpwstr/>
  </property>
  <property fmtid="{D5CDD505-2E9C-101B-9397-08002B2CF9AE}" pid="33" name="xd_Signature">
    <vt:bool>false</vt:bool>
  </property>
  <property fmtid="{D5CDD505-2E9C-101B-9397-08002B2CF9AE}" pid="34" name="MediaServiceImageTags">
    <vt:lpwstr/>
  </property>
</Properties>
</file>