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_CandP/Manuals/ACOM/306 ACOM (END DATE FOR 09-30-22)/"/>
    </mc:Choice>
  </mc:AlternateContent>
  <xr:revisionPtr revIDLastSave="30" documentId="13_ncr:1_{69F0D04A-C687-48EF-AA3B-38105ADDDD0C}" xr6:coauthVersionLast="47" xr6:coauthVersionMax="47" xr10:uidLastSave="{4D2B0DD7-9D88-410D-8FB8-0CCD01AB4053}"/>
  <bookViews>
    <workbookView xWindow="28680" yWindow="-75" windowWidth="38640" windowHeight="21240" tabRatio="969" activeTab="5" xr2:uid="{00000000-000D-0000-FFFF-FFFF00000000}"/>
  </bookViews>
  <sheets>
    <sheet name="Attachment B - ACC CYE 22" sheetId="14" r:id="rId1"/>
    <sheet name="Attachment B - ACC CYE 21" sheetId="9" r:id="rId2"/>
    <sheet name="Attachment B - ACC CYE 20" sheetId="6" r:id="rId3"/>
    <sheet name="Attachment B - ALTCS CYE 22 NEW" sheetId="12" r:id="rId4"/>
    <sheet name="Attachment B - ALTCS-EPD CYE 21" sheetId="10" r:id="rId5"/>
    <sheet name="Attachment B- ALTCS E-PD CYE 20" sheetId="7" r:id="rId6"/>
  </sheets>
  <definedNames>
    <definedName name="CYE_Table">#REF!</definedName>
    <definedName name="pgm_chgs">#REF!</definedName>
    <definedName name="Place_Table">#REF!</definedName>
    <definedName name="summary_w">#REF!</definedName>
    <definedName name="summary_w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2" l="1"/>
  <c r="G34" i="12"/>
  <c r="G32" i="12"/>
  <c r="G14" i="12"/>
  <c r="F23" i="12"/>
  <c r="G24" i="12"/>
  <c r="G25" i="12"/>
  <c r="G23" i="12"/>
  <c r="H23" i="12" s="1"/>
  <c r="C34" i="12"/>
  <c r="C32" i="12"/>
  <c r="C33" i="12"/>
  <c r="C16" i="10" l="1"/>
  <c r="C15" i="10"/>
  <c r="C14" i="10"/>
  <c r="C16" i="12"/>
  <c r="C15" i="12"/>
  <c r="C14" i="12"/>
  <c r="B35" i="12" l="1"/>
  <c r="D34" i="12"/>
  <c r="D33" i="12"/>
  <c r="F33" i="12" s="1"/>
  <c r="D32" i="12"/>
  <c r="D35" i="12" s="1"/>
  <c r="B26" i="12"/>
  <c r="D25" i="12"/>
  <c r="C25" i="12"/>
  <c r="D24" i="12"/>
  <c r="C24" i="12"/>
  <c r="D23" i="12"/>
  <c r="C23" i="12"/>
  <c r="B17" i="12"/>
  <c r="D14" i="12"/>
  <c r="F14" i="12" s="1"/>
  <c r="D16" i="12"/>
  <c r="D15" i="12"/>
  <c r="G21" i="9"/>
  <c r="D34" i="14"/>
  <c r="F34" i="14" s="1"/>
  <c r="M41" i="14"/>
  <c r="O40" i="14"/>
  <c r="R40" i="14" s="1"/>
  <c r="O39" i="14"/>
  <c r="Q39" i="14" s="1"/>
  <c r="O38" i="14"/>
  <c r="Q38" i="14" s="1"/>
  <c r="O37" i="14"/>
  <c r="O36" i="14"/>
  <c r="Q36" i="14" s="1"/>
  <c r="O35" i="14"/>
  <c r="Q35" i="14" s="1"/>
  <c r="O34" i="14"/>
  <c r="R34" i="14" s="1"/>
  <c r="M28" i="14"/>
  <c r="O27" i="14"/>
  <c r="R27" i="14" s="1"/>
  <c r="O26" i="14"/>
  <c r="Q26" i="14" s="1"/>
  <c r="O25" i="14"/>
  <c r="Q25" i="14" s="1"/>
  <c r="O24" i="14"/>
  <c r="Q24" i="14" s="1"/>
  <c r="O23" i="14"/>
  <c r="O22" i="14"/>
  <c r="Q22" i="14" s="1"/>
  <c r="O21" i="14"/>
  <c r="B54" i="14"/>
  <c r="D53" i="14"/>
  <c r="G53" i="14" s="1"/>
  <c r="D52" i="14"/>
  <c r="D51" i="14"/>
  <c r="F51" i="14" s="1"/>
  <c r="D50" i="14"/>
  <c r="D49" i="14"/>
  <c r="F49" i="14" s="1"/>
  <c r="D48" i="14"/>
  <c r="D47" i="14"/>
  <c r="F47" i="14" s="1"/>
  <c r="B28" i="14"/>
  <c r="B41" i="14"/>
  <c r="D35" i="14"/>
  <c r="D36" i="14"/>
  <c r="D37" i="14"/>
  <c r="D38" i="14"/>
  <c r="F38" i="14" s="1"/>
  <c r="D39" i="14"/>
  <c r="F39" i="14" s="1"/>
  <c r="D40" i="14"/>
  <c r="G40" i="14" s="1"/>
  <c r="D21" i="14"/>
  <c r="F21" i="14" s="1"/>
  <c r="D22" i="14"/>
  <c r="O53" i="14" s="1"/>
  <c r="D23" i="14"/>
  <c r="O52" i="14" s="1"/>
  <c r="D24" i="14"/>
  <c r="O49" i="14" s="1"/>
  <c r="D25" i="14"/>
  <c r="O50" i="14" s="1"/>
  <c r="D26" i="14"/>
  <c r="O48" i="14" s="1"/>
  <c r="D27" i="14"/>
  <c r="O47" i="14" s="1"/>
  <c r="B14" i="14"/>
  <c r="F13" i="14"/>
  <c r="F12" i="14" s="1"/>
  <c r="F24" i="14" l="1"/>
  <c r="Q40" i="14"/>
  <c r="S40" i="14" s="1"/>
  <c r="R25" i="14"/>
  <c r="S25" i="14" s="1"/>
  <c r="T25" i="14" s="1"/>
  <c r="Q34" i="14"/>
  <c r="S34" i="14" s="1"/>
  <c r="Q37" i="14"/>
  <c r="O51" i="14"/>
  <c r="O54" i="14" s="1"/>
  <c r="O28" i="14"/>
  <c r="Q21" i="14"/>
  <c r="Q51" i="14" s="1"/>
  <c r="R21" i="14"/>
  <c r="S21" i="14" s="1"/>
  <c r="P21" i="14" s="1"/>
  <c r="O41" i="14"/>
  <c r="R39" i="14"/>
  <c r="H33" i="12"/>
  <c r="I33" i="12" s="1"/>
  <c r="D44" i="12"/>
  <c r="F32" i="12"/>
  <c r="F34" i="12"/>
  <c r="D26" i="12"/>
  <c r="H32" i="12"/>
  <c r="J32" i="12" s="1"/>
  <c r="D43" i="12"/>
  <c r="F16" i="12"/>
  <c r="G16" i="12"/>
  <c r="D42" i="12"/>
  <c r="F15" i="12"/>
  <c r="G15" i="12"/>
  <c r="H14" i="12"/>
  <c r="D17" i="12"/>
  <c r="F24" i="12"/>
  <c r="F25" i="12"/>
  <c r="F44" i="12" s="1"/>
  <c r="F42" i="12"/>
  <c r="S39" i="14"/>
  <c r="R38" i="14"/>
  <c r="S38" i="14" s="1"/>
  <c r="U21" i="14"/>
  <c r="P25" i="14"/>
  <c r="U25" i="14"/>
  <c r="R26" i="14"/>
  <c r="S26" i="14" s="1"/>
  <c r="Q23" i="14"/>
  <c r="Q27" i="14"/>
  <c r="S27" i="14" s="1"/>
  <c r="G38" i="14"/>
  <c r="G39" i="14"/>
  <c r="G26" i="14"/>
  <c r="F25" i="14"/>
  <c r="D54" i="14"/>
  <c r="G27" i="14"/>
  <c r="D41" i="14"/>
  <c r="G21" i="14"/>
  <c r="F27" i="14"/>
  <c r="G47" i="14"/>
  <c r="G52" i="14"/>
  <c r="F35" i="14"/>
  <c r="F40" i="14"/>
  <c r="H40" i="14" s="1"/>
  <c r="E40" i="14" s="1"/>
  <c r="F48" i="14"/>
  <c r="F50" i="14"/>
  <c r="G51" i="14"/>
  <c r="H51" i="14" s="1"/>
  <c r="F53" i="14"/>
  <c r="H53" i="14" s="1"/>
  <c r="F52" i="14"/>
  <c r="H39" i="14"/>
  <c r="F37" i="14"/>
  <c r="Q49" i="14" s="1"/>
  <c r="G34" i="14"/>
  <c r="F36" i="14"/>
  <c r="F11" i="14"/>
  <c r="F10" i="14" s="1"/>
  <c r="G23" i="14" s="1"/>
  <c r="G25" i="14"/>
  <c r="F26" i="14"/>
  <c r="F22" i="14"/>
  <c r="Q53" i="14" s="1"/>
  <c r="F23" i="14"/>
  <c r="Q52" i="14" s="1"/>
  <c r="D28" i="14"/>
  <c r="B35" i="10"/>
  <c r="C34" i="10" s="1"/>
  <c r="D34" i="10"/>
  <c r="G34" i="10" s="1"/>
  <c r="D33" i="10"/>
  <c r="D32" i="10"/>
  <c r="G32" i="10" s="1"/>
  <c r="C32" i="10"/>
  <c r="B26" i="10"/>
  <c r="D25" i="10"/>
  <c r="G25" i="10" s="1"/>
  <c r="C25" i="10"/>
  <c r="D24" i="10"/>
  <c r="C24" i="10"/>
  <c r="D23" i="10"/>
  <c r="C23" i="10"/>
  <c r="B17" i="10"/>
  <c r="D16" i="10"/>
  <c r="G16" i="10" s="1"/>
  <c r="D15" i="10"/>
  <c r="G15" i="10" s="1"/>
  <c r="D14" i="10"/>
  <c r="G14" i="10" s="1"/>
  <c r="B54" i="9"/>
  <c r="D53" i="9"/>
  <c r="G53" i="9" s="1"/>
  <c r="D52" i="9"/>
  <c r="D51" i="9"/>
  <c r="D50" i="9"/>
  <c r="D49" i="9"/>
  <c r="D48" i="9"/>
  <c r="D47" i="9"/>
  <c r="G47" i="9" s="1"/>
  <c r="M41" i="9"/>
  <c r="B41" i="9"/>
  <c r="O40" i="9"/>
  <c r="D40" i="9"/>
  <c r="G40" i="9" s="1"/>
  <c r="O39" i="9"/>
  <c r="D39" i="9"/>
  <c r="O38" i="9"/>
  <c r="D38" i="9"/>
  <c r="O37" i="9"/>
  <c r="D37" i="9"/>
  <c r="O36" i="9"/>
  <c r="D36" i="9"/>
  <c r="O35" i="9"/>
  <c r="D35" i="9"/>
  <c r="O34" i="9"/>
  <c r="D34" i="9"/>
  <c r="M28" i="9"/>
  <c r="B28" i="9"/>
  <c r="O27" i="9"/>
  <c r="R27" i="9" s="1"/>
  <c r="D27" i="9"/>
  <c r="G27" i="9" s="1"/>
  <c r="O26" i="9"/>
  <c r="D26" i="9"/>
  <c r="O25" i="9"/>
  <c r="D25" i="9"/>
  <c r="O52" i="9" s="1"/>
  <c r="O24" i="9"/>
  <c r="D24" i="9"/>
  <c r="O49" i="9" s="1"/>
  <c r="O23" i="9"/>
  <c r="D23" i="9"/>
  <c r="O22" i="9"/>
  <c r="D22" i="9"/>
  <c r="O21" i="9"/>
  <c r="R21" i="9" s="1"/>
  <c r="D21" i="9"/>
  <c r="B14" i="9"/>
  <c r="F13" i="9"/>
  <c r="F12" i="9" s="1"/>
  <c r="G23" i="10" l="1"/>
  <c r="G33" i="10"/>
  <c r="H33" i="10" s="1"/>
  <c r="J33" i="10" s="1"/>
  <c r="G24" i="10"/>
  <c r="H24" i="10" s="1"/>
  <c r="R24" i="14"/>
  <c r="S24" i="14" s="1"/>
  <c r="P40" i="14"/>
  <c r="U40" i="14"/>
  <c r="T40" i="14"/>
  <c r="U34" i="14"/>
  <c r="T34" i="14"/>
  <c r="P34" i="14"/>
  <c r="R50" i="14"/>
  <c r="R23" i="14"/>
  <c r="S23" i="14" s="1"/>
  <c r="R37" i="14"/>
  <c r="S37" i="14" s="1"/>
  <c r="R36" i="14"/>
  <c r="S36" i="14" s="1"/>
  <c r="U36" i="14" s="1"/>
  <c r="T21" i="14"/>
  <c r="Q50" i="14"/>
  <c r="Q48" i="14"/>
  <c r="Q47" i="14"/>
  <c r="J23" i="12"/>
  <c r="H25" i="12"/>
  <c r="J25" i="12" s="1"/>
  <c r="H24" i="12"/>
  <c r="G44" i="12"/>
  <c r="H44" i="12" s="1"/>
  <c r="E44" i="12" s="1"/>
  <c r="E33" i="12"/>
  <c r="H34" i="12"/>
  <c r="J34" i="12" s="1"/>
  <c r="E32" i="12"/>
  <c r="I32" i="12"/>
  <c r="G43" i="12"/>
  <c r="J33" i="12"/>
  <c r="D45" i="12"/>
  <c r="F43" i="12"/>
  <c r="H15" i="12"/>
  <c r="G42" i="12"/>
  <c r="H42" i="12" s="1"/>
  <c r="H16" i="12"/>
  <c r="H34" i="14"/>
  <c r="J34" i="14" s="1"/>
  <c r="U39" i="14"/>
  <c r="T39" i="14"/>
  <c r="P39" i="14"/>
  <c r="P38" i="14"/>
  <c r="U38" i="14"/>
  <c r="T38" i="14"/>
  <c r="P27" i="14"/>
  <c r="T27" i="14"/>
  <c r="U27" i="14"/>
  <c r="P26" i="14"/>
  <c r="U26" i="14"/>
  <c r="T26" i="14"/>
  <c r="U24" i="14"/>
  <c r="T24" i="14"/>
  <c r="P24" i="14"/>
  <c r="U23" i="14"/>
  <c r="T23" i="14"/>
  <c r="P23" i="14"/>
  <c r="H21" i="14"/>
  <c r="E21" i="14" s="1"/>
  <c r="G37" i="14"/>
  <c r="H37" i="14" s="1"/>
  <c r="I37" i="14" s="1"/>
  <c r="H27" i="14"/>
  <c r="E27" i="14" s="1"/>
  <c r="H38" i="14"/>
  <c r="I38" i="14" s="1"/>
  <c r="G49" i="14"/>
  <c r="H49" i="14" s="1"/>
  <c r="J49" i="14" s="1"/>
  <c r="G36" i="14"/>
  <c r="H36" i="14" s="1"/>
  <c r="E36" i="14" s="1"/>
  <c r="G50" i="14"/>
  <c r="R48" i="14" s="1"/>
  <c r="G24" i="14"/>
  <c r="H52" i="14"/>
  <c r="E52" i="14" s="1"/>
  <c r="H47" i="14"/>
  <c r="I47" i="14" s="1"/>
  <c r="E53" i="14"/>
  <c r="J53" i="14"/>
  <c r="I53" i="14"/>
  <c r="I51" i="14"/>
  <c r="E51" i="14"/>
  <c r="J51" i="14"/>
  <c r="I40" i="14"/>
  <c r="J40" i="14"/>
  <c r="I36" i="14"/>
  <c r="E34" i="14"/>
  <c r="J39" i="14"/>
  <c r="I39" i="14"/>
  <c r="E39" i="14"/>
  <c r="H26" i="14"/>
  <c r="H23" i="14"/>
  <c r="H25" i="14"/>
  <c r="J21" i="14"/>
  <c r="F9" i="14"/>
  <c r="O53" i="9"/>
  <c r="O47" i="9"/>
  <c r="O48" i="9"/>
  <c r="G36" i="9"/>
  <c r="H36" i="9" s="1"/>
  <c r="I36" i="9" s="1"/>
  <c r="F11" i="9"/>
  <c r="R40" i="9"/>
  <c r="S40" i="9" s="1"/>
  <c r="U40" i="9" s="1"/>
  <c r="O41" i="9"/>
  <c r="G23" i="9"/>
  <c r="H25" i="10"/>
  <c r="H34" i="10"/>
  <c r="E34" i="10" s="1"/>
  <c r="D35" i="10"/>
  <c r="C33" i="10"/>
  <c r="R39" i="9"/>
  <c r="S39" i="9" s="1"/>
  <c r="D41" i="9"/>
  <c r="H40" i="9"/>
  <c r="I40" i="9" s="1"/>
  <c r="G37" i="9"/>
  <c r="H37" i="9" s="1"/>
  <c r="G35" i="9"/>
  <c r="H35" i="9" s="1"/>
  <c r="R37" i="9"/>
  <c r="G50" i="9"/>
  <c r="H50" i="9" s="1"/>
  <c r="G51" i="9"/>
  <c r="H51" i="9" s="1"/>
  <c r="G52" i="9"/>
  <c r="D28" i="9"/>
  <c r="R25" i="9"/>
  <c r="D26" i="10"/>
  <c r="H23" i="10"/>
  <c r="D17" i="10"/>
  <c r="F44" i="10"/>
  <c r="D42" i="10"/>
  <c r="D44" i="10"/>
  <c r="F43" i="10"/>
  <c r="D43" i="10"/>
  <c r="O51" i="9"/>
  <c r="H53" i="9"/>
  <c r="R38" i="9"/>
  <c r="S38" i="9" s="1"/>
  <c r="G22" i="9"/>
  <c r="G34" i="9"/>
  <c r="H34" i="9" s="1"/>
  <c r="O50" i="9"/>
  <c r="R26" i="9"/>
  <c r="S26" i="9" s="1"/>
  <c r="R34" i="9"/>
  <c r="S21" i="9"/>
  <c r="O28" i="9"/>
  <c r="Q52" i="9"/>
  <c r="R24" i="9"/>
  <c r="S24" i="9" s="1"/>
  <c r="S27" i="9"/>
  <c r="Q51" i="9"/>
  <c r="H47" i="9"/>
  <c r="D54" i="9"/>
  <c r="E24" i="12" l="1"/>
  <c r="H26" i="12"/>
  <c r="J36" i="14"/>
  <c r="S50" i="14"/>
  <c r="P50" i="14" s="1"/>
  <c r="E37" i="14"/>
  <c r="J37" i="14"/>
  <c r="I34" i="14"/>
  <c r="P37" i="14"/>
  <c r="U37" i="14"/>
  <c r="T37" i="14"/>
  <c r="R22" i="14"/>
  <c r="S22" i="14" s="1"/>
  <c r="R35" i="14"/>
  <c r="T49" i="14"/>
  <c r="P36" i="14"/>
  <c r="S48" i="14"/>
  <c r="P48" i="14" s="1"/>
  <c r="T36" i="14"/>
  <c r="H24" i="14"/>
  <c r="J24" i="14" s="1"/>
  <c r="R49" i="14"/>
  <c r="S49" i="14" s="1"/>
  <c r="P49" i="14" s="1"/>
  <c r="I23" i="12"/>
  <c r="I25" i="12"/>
  <c r="E25" i="12"/>
  <c r="I24" i="12"/>
  <c r="E23" i="12"/>
  <c r="E26" i="12"/>
  <c r="J24" i="12"/>
  <c r="J26" i="12" s="1"/>
  <c r="H17" i="12"/>
  <c r="E17" i="12" s="1"/>
  <c r="I34" i="12"/>
  <c r="I35" i="12" s="1"/>
  <c r="H35" i="12"/>
  <c r="E35" i="12" s="1"/>
  <c r="E34" i="12"/>
  <c r="J35" i="12"/>
  <c r="H43" i="12"/>
  <c r="E43" i="12" s="1"/>
  <c r="I21" i="14"/>
  <c r="I14" i="12"/>
  <c r="J14" i="12"/>
  <c r="J44" i="12" s="1"/>
  <c r="E14" i="12"/>
  <c r="I16" i="12"/>
  <c r="J16" i="12"/>
  <c r="E16" i="12"/>
  <c r="E42" i="12"/>
  <c r="I15" i="12"/>
  <c r="J15" i="12"/>
  <c r="E15" i="12"/>
  <c r="I49" i="14"/>
  <c r="E38" i="14"/>
  <c r="J38" i="14"/>
  <c r="I52" i="14"/>
  <c r="J52" i="14"/>
  <c r="H50" i="14"/>
  <c r="G48" i="14"/>
  <c r="G35" i="14"/>
  <c r="H35" i="14" s="1"/>
  <c r="E49" i="14"/>
  <c r="J47" i="14"/>
  <c r="E47" i="14"/>
  <c r="G22" i="14"/>
  <c r="I23" i="14"/>
  <c r="J23" i="14"/>
  <c r="E23" i="14"/>
  <c r="I24" i="14"/>
  <c r="E24" i="14"/>
  <c r="J27" i="14"/>
  <c r="I27" i="14"/>
  <c r="J26" i="14"/>
  <c r="I26" i="14"/>
  <c r="E26" i="14"/>
  <c r="E25" i="14"/>
  <c r="I25" i="14"/>
  <c r="T50" i="14" s="1"/>
  <c r="J25" i="14"/>
  <c r="G44" i="10"/>
  <c r="H44" i="10" s="1"/>
  <c r="E44" i="10" s="1"/>
  <c r="I34" i="10"/>
  <c r="P40" i="9"/>
  <c r="E36" i="9"/>
  <c r="Q53" i="9"/>
  <c r="T40" i="9"/>
  <c r="G24" i="9"/>
  <c r="H24" i="9" s="1"/>
  <c r="I24" i="9" s="1"/>
  <c r="F10" i="9"/>
  <c r="J36" i="9"/>
  <c r="O54" i="9"/>
  <c r="E40" i="9"/>
  <c r="J40" i="9"/>
  <c r="E33" i="10"/>
  <c r="J34" i="10"/>
  <c r="I33" i="10"/>
  <c r="H15" i="10"/>
  <c r="E15" i="10" s="1"/>
  <c r="G43" i="10"/>
  <c r="H43" i="10" s="1"/>
  <c r="E43" i="10" s="1"/>
  <c r="S25" i="9"/>
  <c r="U25" i="9" s="1"/>
  <c r="H52" i="9"/>
  <c r="E52" i="9" s="1"/>
  <c r="Q47" i="9"/>
  <c r="S37" i="9"/>
  <c r="U37" i="9" s="1"/>
  <c r="J25" i="10"/>
  <c r="I25" i="10"/>
  <c r="E25" i="10"/>
  <c r="D45" i="10"/>
  <c r="J23" i="10"/>
  <c r="I23" i="10"/>
  <c r="E23" i="10"/>
  <c r="H26" i="10"/>
  <c r="E26" i="10" s="1"/>
  <c r="J24" i="10"/>
  <c r="I24" i="10"/>
  <c r="E24" i="10"/>
  <c r="H16" i="10"/>
  <c r="F42" i="10"/>
  <c r="H14" i="10"/>
  <c r="E14" i="10" s="1"/>
  <c r="H32" i="10"/>
  <c r="G42" i="10"/>
  <c r="E35" i="9"/>
  <c r="J35" i="9"/>
  <c r="I35" i="9"/>
  <c r="P39" i="9"/>
  <c r="T39" i="9"/>
  <c r="U39" i="9"/>
  <c r="E53" i="9"/>
  <c r="J53" i="9"/>
  <c r="I53" i="9"/>
  <c r="U21" i="9"/>
  <c r="T21" i="9"/>
  <c r="P21" i="9"/>
  <c r="J50" i="9"/>
  <c r="I50" i="9"/>
  <c r="E50" i="9"/>
  <c r="J51" i="9"/>
  <c r="I51" i="9"/>
  <c r="E51" i="9"/>
  <c r="P27" i="9"/>
  <c r="T27" i="9"/>
  <c r="U27" i="9"/>
  <c r="E47" i="9"/>
  <c r="J47" i="9"/>
  <c r="I47" i="9"/>
  <c r="Q50" i="9"/>
  <c r="U38" i="9"/>
  <c r="P38" i="9"/>
  <c r="T38" i="9"/>
  <c r="I37" i="9"/>
  <c r="J37" i="9"/>
  <c r="E37" i="9"/>
  <c r="R48" i="9"/>
  <c r="H22" i="9"/>
  <c r="S34" i="9"/>
  <c r="H21" i="9"/>
  <c r="P26" i="9"/>
  <c r="U26" i="9"/>
  <c r="T26" i="9"/>
  <c r="Q48" i="9"/>
  <c r="H23" i="9"/>
  <c r="U24" i="9"/>
  <c r="T24" i="9"/>
  <c r="P24" i="9"/>
  <c r="H27" i="9"/>
  <c r="E24" i="9"/>
  <c r="J24" i="9"/>
  <c r="Q49" i="9"/>
  <c r="E34" i="9"/>
  <c r="J34" i="9"/>
  <c r="I34" i="9"/>
  <c r="I44" i="12" l="1"/>
  <c r="R53" i="14"/>
  <c r="S53" i="14" s="1"/>
  <c r="P53" i="14" s="1"/>
  <c r="S35" i="14"/>
  <c r="R51" i="14"/>
  <c r="S51" i="14" s="1"/>
  <c r="P51" i="14" s="1"/>
  <c r="U22" i="14"/>
  <c r="U28" i="14" s="1"/>
  <c r="S28" i="14"/>
  <c r="P28" i="14" s="1"/>
  <c r="T22" i="14"/>
  <c r="T28" i="14" s="1"/>
  <c r="P22" i="14"/>
  <c r="U50" i="14"/>
  <c r="U49" i="14"/>
  <c r="H48" i="14"/>
  <c r="H54" i="14" s="1"/>
  <c r="E54" i="14" s="1"/>
  <c r="R47" i="14"/>
  <c r="S47" i="14" s="1"/>
  <c r="U52" i="14"/>
  <c r="R52" i="14"/>
  <c r="S52" i="14" s="1"/>
  <c r="P52" i="14" s="1"/>
  <c r="J43" i="12"/>
  <c r="I26" i="12"/>
  <c r="I43" i="12"/>
  <c r="H45" i="12"/>
  <c r="E45" i="12" s="1"/>
  <c r="H17" i="10"/>
  <c r="E17" i="10" s="1"/>
  <c r="C42" i="12"/>
  <c r="C44" i="12"/>
  <c r="C43" i="12"/>
  <c r="J17" i="12"/>
  <c r="J42" i="12"/>
  <c r="I17" i="12"/>
  <c r="I42" i="12"/>
  <c r="E50" i="14"/>
  <c r="J50" i="14"/>
  <c r="U48" i="14" s="1"/>
  <c r="I50" i="14"/>
  <c r="T48" i="14" s="1"/>
  <c r="I35" i="14"/>
  <c r="I41" i="14" s="1"/>
  <c r="J35" i="14"/>
  <c r="J41" i="14" s="1"/>
  <c r="E35" i="14"/>
  <c r="H41" i="14"/>
  <c r="E41" i="14" s="1"/>
  <c r="I48" i="14"/>
  <c r="T47" i="14" s="1"/>
  <c r="J48" i="14"/>
  <c r="J54" i="14" s="1"/>
  <c r="H22" i="14"/>
  <c r="H28" i="14" s="1"/>
  <c r="E28" i="14" s="1"/>
  <c r="R49" i="9"/>
  <c r="S49" i="9" s="1"/>
  <c r="P49" i="9" s="1"/>
  <c r="J15" i="10"/>
  <c r="J43" i="10" s="1"/>
  <c r="I15" i="10"/>
  <c r="I43" i="10" s="1"/>
  <c r="T25" i="9"/>
  <c r="R36" i="9"/>
  <c r="S36" i="9" s="1"/>
  <c r="R23" i="9"/>
  <c r="G38" i="9"/>
  <c r="H38" i="9" s="1"/>
  <c r="F9" i="9"/>
  <c r="G49" i="9"/>
  <c r="H49" i="9" s="1"/>
  <c r="G25" i="9"/>
  <c r="P37" i="9"/>
  <c r="T37" i="9"/>
  <c r="T49" i="9"/>
  <c r="I26" i="10"/>
  <c r="J26" i="10"/>
  <c r="P25" i="9"/>
  <c r="I52" i="9"/>
  <c r="U49" i="9"/>
  <c r="J52" i="9"/>
  <c r="I16" i="10"/>
  <c r="I44" i="10" s="1"/>
  <c r="J16" i="10"/>
  <c r="J44" i="10" s="1"/>
  <c r="E16" i="10"/>
  <c r="H42" i="10"/>
  <c r="E32" i="10"/>
  <c r="J32" i="10"/>
  <c r="J35" i="10" s="1"/>
  <c r="H35" i="10"/>
  <c r="E35" i="10" s="1"/>
  <c r="I32" i="10"/>
  <c r="I35" i="10" s="1"/>
  <c r="I14" i="10"/>
  <c r="J14" i="10"/>
  <c r="S48" i="9"/>
  <c r="P48" i="9" s="1"/>
  <c r="J21" i="9"/>
  <c r="I21" i="9"/>
  <c r="E21" i="9"/>
  <c r="E23" i="9"/>
  <c r="J23" i="9"/>
  <c r="I23" i="9"/>
  <c r="P34" i="9"/>
  <c r="T34" i="9"/>
  <c r="U34" i="9"/>
  <c r="E22" i="9"/>
  <c r="J22" i="9"/>
  <c r="I22" i="9"/>
  <c r="E27" i="9"/>
  <c r="J27" i="9"/>
  <c r="I27" i="9"/>
  <c r="E48" i="14" l="1"/>
  <c r="T52" i="14"/>
  <c r="P47" i="14"/>
  <c r="S54" i="14"/>
  <c r="P54" i="14" s="1"/>
  <c r="U47" i="14"/>
  <c r="S41" i="14"/>
  <c r="P41" i="14" s="1"/>
  <c r="U35" i="14"/>
  <c r="P35" i="14"/>
  <c r="T35" i="14"/>
  <c r="J45" i="12"/>
  <c r="I45" i="12"/>
  <c r="I54" i="14"/>
  <c r="J22" i="14"/>
  <c r="U53" i="14" s="1"/>
  <c r="E22" i="14"/>
  <c r="I22" i="14"/>
  <c r="T53" i="14" s="1"/>
  <c r="U48" i="9"/>
  <c r="H25" i="9"/>
  <c r="E49" i="9"/>
  <c r="I49" i="9"/>
  <c r="J49" i="9"/>
  <c r="R22" i="9"/>
  <c r="S22" i="9" s="1"/>
  <c r="R35" i="9"/>
  <c r="G39" i="9"/>
  <c r="H39" i="9" s="1"/>
  <c r="G48" i="9"/>
  <c r="G26" i="9"/>
  <c r="E38" i="9"/>
  <c r="I38" i="9"/>
  <c r="J38" i="9"/>
  <c r="R50" i="9"/>
  <c r="S50" i="9" s="1"/>
  <c r="P50" i="9" s="1"/>
  <c r="S23" i="9"/>
  <c r="T36" i="9"/>
  <c r="U36" i="9"/>
  <c r="P36" i="9"/>
  <c r="T48" i="9"/>
  <c r="H45" i="10"/>
  <c r="E45" i="10" s="1"/>
  <c r="E42" i="10"/>
  <c r="J17" i="10"/>
  <c r="J42" i="10"/>
  <c r="J45" i="10" s="1"/>
  <c r="I17" i="10"/>
  <c r="I42" i="10"/>
  <c r="I45" i="10" s="1"/>
  <c r="N53" i="14" l="1"/>
  <c r="N49" i="14"/>
  <c r="N50" i="14"/>
  <c r="N48" i="14"/>
  <c r="N47" i="14"/>
  <c r="U41" i="14"/>
  <c r="U51" i="14"/>
  <c r="U54" i="14" s="1"/>
  <c r="N51" i="14"/>
  <c r="T41" i="14"/>
  <c r="T51" i="14"/>
  <c r="T54" i="14" s="1"/>
  <c r="N52" i="14"/>
  <c r="I28" i="14"/>
  <c r="J28" i="14"/>
  <c r="R52" i="9"/>
  <c r="S52" i="9" s="1"/>
  <c r="P52" i="9" s="1"/>
  <c r="R51" i="9"/>
  <c r="S51" i="9" s="1"/>
  <c r="P51" i="9" s="1"/>
  <c r="S35" i="9"/>
  <c r="U22" i="9"/>
  <c r="T22" i="9"/>
  <c r="P22" i="9"/>
  <c r="S28" i="9"/>
  <c r="P28" i="9" s="1"/>
  <c r="H26" i="9"/>
  <c r="R53" i="9"/>
  <c r="S53" i="9" s="1"/>
  <c r="P53" i="9" s="1"/>
  <c r="H48" i="9"/>
  <c r="R47" i="9"/>
  <c r="S47" i="9" s="1"/>
  <c r="T23" i="9"/>
  <c r="T50" i="9" s="1"/>
  <c r="P23" i="9"/>
  <c r="U23" i="9"/>
  <c r="U50" i="9" s="1"/>
  <c r="E39" i="9"/>
  <c r="I39" i="9"/>
  <c r="I41" i="9" s="1"/>
  <c r="J39" i="9"/>
  <c r="J41" i="9" s="1"/>
  <c r="H41" i="9"/>
  <c r="E41" i="9" s="1"/>
  <c r="J25" i="9"/>
  <c r="U52" i="9" s="1"/>
  <c r="E25" i="9"/>
  <c r="I25" i="9"/>
  <c r="C42" i="10"/>
  <c r="C44" i="10"/>
  <c r="C43" i="10"/>
  <c r="T28" i="9" l="1"/>
  <c r="U28" i="9"/>
  <c r="H28" i="9"/>
  <c r="E28" i="9" s="1"/>
  <c r="J26" i="9"/>
  <c r="U53" i="9" s="1"/>
  <c r="I26" i="9"/>
  <c r="T53" i="9" s="1"/>
  <c r="E26" i="9"/>
  <c r="P47" i="9"/>
  <c r="N51" i="9" s="1"/>
  <c r="S54" i="9"/>
  <c r="P54" i="9" s="1"/>
  <c r="E48" i="9"/>
  <c r="J48" i="9"/>
  <c r="I48" i="9"/>
  <c r="H54" i="9"/>
  <c r="E54" i="9" s="1"/>
  <c r="T52" i="9"/>
  <c r="S41" i="9"/>
  <c r="P41" i="9" s="1"/>
  <c r="P35" i="9"/>
  <c r="U35" i="9"/>
  <c r="T35" i="9"/>
  <c r="U41" i="9" l="1"/>
  <c r="U51" i="9"/>
  <c r="T51" i="9"/>
  <c r="T41" i="9"/>
  <c r="J28" i="9"/>
  <c r="I54" i="9"/>
  <c r="T47" i="9"/>
  <c r="J54" i="9"/>
  <c r="U47" i="9"/>
  <c r="I28" i="9"/>
  <c r="N50" i="9"/>
  <c r="N47" i="9"/>
  <c r="N49" i="9"/>
  <c r="N52" i="9"/>
  <c r="N48" i="9"/>
  <c r="N53" i="9"/>
  <c r="T54" i="9" l="1"/>
  <c r="U54" i="9"/>
</calcChain>
</file>

<file path=xl/sharedStrings.xml><?xml version="1.0" encoding="utf-8"?>
<sst xmlns="http://schemas.openxmlformats.org/spreadsheetml/2006/main" count="668" uniqueCount="68">
  <si>
    <t>Note:  For Illustrative Purposes Only</t>
  </si>
  <si>
    <t>Withhold %</t>
  </si>
  <si>
    <t>Scaling Factor = 3</t>
  </si>
  <si>
    <t>Plan</t>
  </si>
  <si>
    <t>$ Withhold</t>
  </si>
  <si>
    <t>Rank</t>
  </si>
  <si>
    <t>Rank Factor</t>
  </si>
  <si>
    <t>Percent of Withhold</t>
  </si>
  <si>
    <t>adj.=</t>
  </si>
  <si>
    <t>Plan A</t>
  </si>
  <si>
    <t>Rate</t>
  </si>
  <si>
    <t>Dist. Ratio</t>
  </si>
  <si>
    <t>QMP Incentive</t>
  </si>
  <si>
    <t>Plan B</t>
  </si>
  <si>
    <t>Plan G</t>
  </si>
  <si>
    <t>Plan C</t>
  </si>
  <si>
    <t>Plan E</t>
  </si>
  <si>
    <t>Plan D</t>
  </si>
  <si>
    <t>Plan F</t>
  </si>
  <si>
    <t>Total</t>
  </si>
  <si>
    <t>Minimum Standard</t>
  </si>
  <si>
    <t>Withhold</t>
  </si>
  <si>
    <t>Combined Performance Score</t>
  </si>
  <si>
    <t>Earned Withhold</t>
  </si>
  <si>
    <t>Total Results</t>
  </si>
  <si>
    <t xml:space="preserve"> </t>
  </si>
  <si>
    <t xml:space="preserve">Scaling Factor = </t>
  </si>
  <si>
    <t>Measure 1:  Plan All-Cause Readmissions (PCR)</t>
  </si>
  <si>
    <t>Contribution %</t>
  </si>
  <si>
    <t>Scaling Factor</t>
  </si>
  <si>
    <t>$ Contribution</t>
  </si>
  <si>
    <t>Percent of Contribution</t>
  </si>
  <si>
    <t>`</t>
  </si>
  <si>
    <t>Measure 2:  Ambulatory Care - ED Utilization (AMB): Child</t>
  </si>
  <si>
    <t>Measure 1:  Adult Body Mass Index Assessment (ABA-AD)</t>
  </si>
  <si>
    <t>Measure 2:  Hemoglobin A1c (HbA1c) Poor Control (&gt;9.0%) (HPC-AD)</t>
  </si>
  <si>
    <t>Measure 3: Well-Child Visits in the First 30  Months of Life (W3015) - Rate 1 - Well-Child Visits in the First 15 Months</t>
  </si>
  <si>
    <t>Measure 4: Child and Adolescent Well Care Visit (WCV): Combined Reporting for Members 12-21 Years of Age (Roll up of the 12-17 and 18-21 Year Age Stratification)</t>
  </si>
  <si>
    <t>Measure 5: Follow-up After Hospitalization for Mental Illness (FUH) 7 Days</t>
  </si>
  <si>
    <t>Measure 6: Follow-up After Hospitalization for Mental Illness (FUH) 30 Days</t>
  </si>
  <si>
    <r>
      <t>adj.=</t>
    </r>
    <r>
      <rPr>
        <vertAlign val="superscript"/>
        <sz val="10"/>
        <rFont val="Times New Roman"/>
        <family val="1"/>
      </rPr>
      <t>1</t>
    </r>
  </si>
  <si>
    <t>1. The adjustment factor shown is for illustrative purposes only.</t>
  </si>
  <si>
    <t>2. The NCQA Medicaid Mean shown is for illustrative purposes only.</t>
  </si>
  <si>
    <t>2. The NCQA Medicaid Mean shown is the 2018 NCQA Medicaid Mean and is for illustrative purposes only.</t>
  </si>
  <si>
    <r>
      <t xml:space="preserve">Measure 2:  Comprehensive Diabetes Care: Hemoglobin A1c (HbA1c) Poor Control (&gt;9.0%) </t>
    </r>
    <r>
      <rPr>
        <i/>
        <sz val="10"/>
        <rFont val="Times New Roman"/>
        <family val="1"/>
      </rPr>
      <t>Lower is Better</t>
    </r>
  </si>
  <si>
    <r>
      <t>NCQA Medicaid Mean</t>
    </r>
    <r>
      <rPr>
        <vertAlign val="superscript"/>
        <sz val="10"/>
        <rFont val="Times New Roman"/>
        <family val="1"/>
      </rPr>
      <t>2,3</t>
    </r>
  </si>
  <si>
    <t>3. Due to the ongoing Public Health Emergency due to COVID-19, AHCCCS will not use the Performance Rank Score to calculate Contractor performance in CYE 2021.</t>
  </si>
  <si>
    <t>Performance Measure Score</t>
  </si>
  <si>
    <t>Performance Rank Score</t>
  </si>
  <si>
    <r>
      <t>NCQA Medicaid Mean</t>
    </r>
    <r>
      <rPr>
        <vertAlign val="superscript"/>
        <sz val="10"/>
        <rFont val="Times New Roman"/>
        <family val="1"/>
      </rPr>
      <t>2</t>
    </r>
  </si>
  <si>
    <r>
      <t>Rate</t>
    </r>
    <r>
      <rPr>
        <vertAlign val="superscript"/>
        <sz val="10"/>
        <rFont val="Times New Roman"/>
        <family val="1"/>
      </rPr>
      <t>3</t>
    </r>
  </si>
  <si>
    <t>3. Due to the ongoing Public Health Emergency due to COVID-19, AHCCCS will not use the Performance Measure Score to calculate Contractor performance in CYE 2021.</t>
  </si>
  <si>
    <t>3. Reflective of Calendar Year 2022 performance, combined TXIX/TXXI rates, as applicable.</t>
  </si>
  <si>
    <t>3. Reflective of Calendar Year 2022 performance.</t>
  </si>
  <si>
    <r>
      <t>Rate</t>
    </r>
    <r>
      <rPr>
        <vertAlign val="superscript"/>
        <sz val="10"/>
        <rFont val="Times New Roman"/>
        <family val="1"/>
      </rPr>
      <t>4</t>
    </r>
  </si>
  <si>
    <t>4. Reflective of Calendar Year 2021 performance, combined TXIX/TXXI rates, as applicable.</t>
  </si>
  <si>
    <r>
      <t>Performance Measure Score</t>
    </r>
    <r>
      <rPr>
        <vertAlign val="superscript"/>
        <sz val="10"/>
        <rFont val="Times New Roman"/>
        <family val="1"/>
      </rPr>
      <t>3</t>
    </r>
  </si>
  <si>
    <r>
      <t xml:space="preserve">Performance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Measure Score</t>
    </r>
    <r>
      <rPr>
        <vertAlign val="superscript"/>
        <sz val="10"/>
        <rFont val="Times New Roman"/>
        <family val="1"/>
      </rPr>
      <t>3</t>
    </r>
  </si>
  <si>
    <t>4. Reflective of Calendar Year 2021 performance.</t>
  </si>
  <si>
    <r>
      <t xml:space="preserve">Measure 1:  Well Child Visits in First 30 Months of Life: Well-Child Visits in the First 15 Months (Rate 1) </t>
    </r>
    <r>
      <rPr>
        <i/>
        <sz val="10"/>
        <rFont val="Times New Roman"/>
        <family val="1"/>
      </rPr>
      <t>Higher is Better</t>
    </r>
  </si>
  <si>
    <r>
      <t xml:space="preserve">Measure 4: Follow-Up After Hospitalization for Mental Illness: 7 Day </t>
    </r>
    <r>
      <rPr>
        <i/>
        <sz val="10"/>
        <rFont val="Times New Roman"/>
        <family val="1"/>
      </rPr>
      <t>Higher is Better</t>
    </r>
  </si>
  <si>
    <r>
      <t xml:space="preserve">Measure 2:  Child and Adolescent Well-Care Visits </t>
    </r>
    <r>
      <rPr>
        <i/>
        <sz val="10"/>
        <rFont val="Times New Roman"/>
        <family val="1"/>
      </rPr>
      <t>Higher is Better</t>
    </r>
  </si>
  <si>
    <r>
      <t xml:space="preserve">Measure 5: Breast Cancer Screening </t>
    </r>
    <r>
      <rPr>
        <i/>
        <sz val="10"/>
        <rFont val="Times New Roman"/>
        <family val="1"/>
      </rPr>
      <t>Higher is Better</t>
    </r>
  </si>
  <si>
    <r>
      <t xml:space="preserve">Measure 3: Prenatal and Postpartum Care: Timeliness of Prenatal Care </t>
    </r>
    <r>
      <rPr>
        <i/>
        <sz val="10"/>
        <rFont val="Times New Roman"/>
        <family val="1"/>
      </rPr>
      <t>Higher is Better</t>
    </r>
  </si>
  <si>
    <r>
      <t xml:space="preserve">Measure 1:  Use of Opioids at High Dosage  </t>
    </r>
    <r>
      <rPr>
        <i/>
        <sz val="10"/>
        <rFont val="Times New Roman"/>
        <family val="1"/>
      </rPr>
      <t>Lower is Better</t>
    </r>
  </si>
  <si>
    <r>
      <t xml:space="preserve">Measure 2: Hemoglobin A1c Control for Patients with Diabetes: Hemoglobin A1c (HbA1c) Poor Control (&gt;9.0%) </t>
    </r>
    <r>
      <rPr>
        <i/>
        <sz val="10"/>
        <rFont val="Times New Roman"/>
        <family val="1"/>
      </rPr>
      <t>Lower is Better</t>
    </r>
  </si>
  <si>
    <r>
      <t xml:space="preserve">Measure 3: Breast Cancer Screening </t>
    </r>
    <r>
      <rPr>
        <i/>
        <sz val="10"/>
        <rFont val="Times New Roman"/>
        <family val="1"/>
      </rPr>
      <t>Higher is Better</t>
    </r>
  </si>
  <si>
    <r>
      <t>Measure 1:  Use of Opioids at High Dosage</t>
    </r>
    <r>
      <rPr>
        <i/>
        <sz val="10"/>
        <rFont val="Times New Roman"/>
        <family val="1"/>
      </rPr>
      <t xml:space="preserve"> Lower is Better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</si>
</sst>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* #,##0.0000_);_(* \(#,##0.0000\);_(* &quot;-&quot;??_);_(@_)"/>
    <numFmt numFmtId="167" formatCode="_(* #,##0.000_);_(* \(#,##0.000\);_(* &quot;-&quot;??_);_(@_)"/>
    <numFmt numFmtId="168" formatCode="0.0%"/>
    <numFmt numFmtId="169" formatCode="_(* #,##0.000_);_(* \(#,##0.000\);_(* &quot;-&quot;?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2"/>
      <color rgb="FFFF0000"/>
      <name val="Times New Roman"/>
      <family val="1"/>
    </font>
    <font>
      <sz val="12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i/>
      <sz val="10"/>
      <name val="Times New Roman"/>
      <family val="1"/>
    </font>
    <font>
      <sz val="11"/>
      <name val="Times New Roman"/>
      <family val="1"/>
    </font>
    <font>
      <strike/>
      <sz val="10"/>
      <name val="Times New Roman"/>
      <family val="1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7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9" fontId="4" fillId="0" borderId="3" xfId="2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9" fontId="4" fillId="0" borderId="3" xfId="17" applyFont="1" applyFill="1" applyBorder="1" applyAlignment="1">
      <alignment horizontal="center"/>
    </xf>
    <xf numFmtId="43" fontId="5" fillId="0" borderId="0" xfId="18" applyFont="1" applyFill="1"/>
    <xf numFmtId="43" fontId="5" fillId="0" borderId="0" xfId="18" applyFont="1" applyFill="1" applyBorder="1" applyAlignment="1"/>
    <xf numFmtId="166" fontId="5" fillId="0" borderId="0" xfId="18" applyNumberFormat="1" applyFont="1" applyFill="1"/>
    <xf numFmtId="43" fontId="5" fillId="0" borderId="1" xfId="18" applyFont="1" applyFill="1" applyBorder="1" applyAlignment="1">
      <alignment horizontal="center" wrapText="1"/>
    </xf>
    <xf numFmtId="167" fontId="5" fillId="0" borderId="0" xfId="18" applyNumberFormat="1" applyFont="1" applyFill="1" applyBorder="1"/>
    <xf numFmtId="164" fontId="5" fillId="0" borderId="2" xfId="18" applyNumberFormat="1" applyFont="1" applyFill="1" applyBorder="1" applyAlignment="1">
      <alignment horizontal="center" wrapText="1"/>
    </xf>
    <xf numFmtId="43" fontId="5" fillId="0" borderId="2" xfId="18" applyFont="1" applyFill="1" applyBorder="1" applyAlignment="1">
      <alignment horizontal="center" wrapText="1"/>
    </xf>
    <xf numFmtId="164" fontId="5" fillId="0" borderId="7" xfId="18" applyNumberFormat="1" applyFont="1" applyFill="1" applyBorder="1" applyAlignment="1">
      <alignment horizontal="center"/>
    </xf>
    <xf numFmtId="167" fontId="5" fillId="0" borderId="8" xfId="18" applyNumberFormat="1" applyFont="1" applyFill="1" applyBorder="1"/>
    <xf numFmtId="168" fontId="5" fillId="0" borderId="0" xfId="17" applyNumberFormat="1" applyFont="1" applyFill="1" applyBorder="1" applyAlignment="1">
      <alignment horizontal="center"/>
    </xf>
    <xf numFmtId="164" fontId="5" fillId="0" borderId="0" xfId="18" applyNumberFormat="1" applyFont="1" applyFill="1" applyBorder="1"/>
    <xf numFmtId="164" fontId="5" fillId="0" borderId="5" xfId="18" applyNumberFormat="1" applyFont="1" applyFill="1" applyBorder="1"/>
    <xf numFmtId="164" fontId="5" fillId="0" borderId="6" xfId="18" applyNumberFormat="1" applyFont="1" applyFill="1" applyBorder="1"/>
    <xf numFmtId="164" fontId="5" fillId="0" borderId="8" xfId="18" applyNumberFormat="1" applyFont="1" applyFill="1" applyBorder="1"/>
    <xf numFmtId="164" fontId="5" fillId="0" borderId="8" xfId="18" applyNumberFormat="1" applyFont="1" applyFill="1" applyBorder="1" applyAlignment="1">
      <alignment horizontal="right"/>
    </xf>
    <xf numFmtId="164" fontId="5" fillId="0" borderId="9" xfId="18" applyNumberFormat="1" applyFont="1" applyFill="1" applyBorder="1" applyAlignment="1">
      <alignment horizontal="center"/>
    </xf>
    <xf numFmtId="167" fontId="5" fillId="0" borderId="10" xfId="18" applyNumberFormat="1" applyFont="1" applyFill="1" applyBorder="1"/>
    <xf numFmtId="164" fontId="5" fillId="0" borderId="11" xfId="18" applyNumberFormat="1" applyFont="1" applyFill="1" applyBorder="1"/>
    <xf numFmtId="164" fontId="5" fillId="0" borderId="10" xfId="18" applyNumberFormat="1" applyFont="1" applyFill="1" applyBorder="1" applyAlignment="1">
      <alignment horizontal="right"/>
    </xf>
    <xf numFmtId="43" fontId="5" fillId="0" borderId="0" xfId="18" applyFont="1" applyFill="1" applyBorder="1"/>
    <xf numFmtId="168" fontId="5" fillId="0" borderId="2" xfId="17" applyNumberFormat="1" applyFont="1" applyFill="1" applyBorder="1" applyAlignment="1">
      <alignment horizontal="center"/>
    </xf>
    <xf numFmtId="164" fontId="5" fillId="0" borderId="2" xfId="18" applyNumberFormat="1" applyFont="1" applyFill="1" applyBorder="1"/>
    <xf numFmtId="167" fontId="5" fillId="0" borderId="2" xfId="18" applyNumberFormat="1" applyFont="1" applyFill="1" applyBorder="1"/>
    <xf numFmtId="168" fontId="5" fillId="0" borderId="0" xfId="17" applyNumberFormat="1" applyFont="1" applyFill="1" applyAlignment="1">
      <alignment horizontal="center"/>
    </xf>
    <xf numFmtId="164" fontId="5" fillId="0" borderId="0" xfId="18" applyNumberFormat="1" applyFont="1" applyFill="1"/>
    <xf numFmtId="43" fontId="5" fillId="0" borderId="0" xfId="18" applyFont="1" applyFill="1" applyBorder="1" applyAlignment="1">
      <alignment horizontal="right"/>
    </xf>
    <xf numFmtId="43" fontId="5" fillId="0" borderId="2" xfId="18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1" applyNumberFormat="1" applyFont="1"/>
    <xf numFmtId="43" fontId="5" fillId="0" borderId="0" xfId="1" applyFont="1"/>
    <xf numFmtId="43" fontId="5" fillId="0" borderId="0" xfId="1" applyFont="1" applyBorder="1" applyAlignment="1"/>
    <xf numFmtId="0" fontId="5" fillId="0" borderId="4" xfId="0" applyFont="1" applyBorder="1" applyAlignment="1">
      <alignment horizontal="center" wrapText="1"/>
    </xf>
    <xf numFmtId="43" fontId="5" fillId="0" borderId="1" xfId="1" applyFont="1" applyBorder="1" applyAlignment="1">
      <alignment horizontal="center" wrapText="1"/>
    </xf>
    <xf numFmtId="0" fontId="5" fillId="0" borderId="3" xfId="0" quotePrefix="1" applyFont="1" applyBorder="1" applyAlignment="1">
      <alignment horizontal="center" wrapText="1"/>
    </xf>
    <xf numFmtId="0" fontId="5" fillId="0" borderId="7" xfId="0" applyFont="1" applyBorder="1" applyAlignment="1">
      <alignment horizontal="left"/>
    </xf>
    <xf numFmtId="166" fontId="5" fillId="0" borderId="0" xfId="1" applyNumberFormat="1" applyFont="1"/>
    <xf numFmtId="164" fontId="5" fillId="0" borderId="7" xfId="1" applyNumberFormat="1" applyFont="1" applyBorder="1" applyAlignment="1">
      <alignment horizontal="center"/>
    </xf>
    <xf numFmtId="167" fontId="5" fillId="0" borderId="8" xfId="1" applyNumberFormat="1" applyFont="1" applyBorder="1"/>
    <xf numFmtId="167" fontId="5" fillId="0" borderId="0" xfId="1" applyNumberFormat="1" applyFont="1" applyBorder="1"/>
    <xf numFmtId="43" fontId="5" fillId="0" borderId="0" xfId="0" applyNumberFormat="1" applyFont="1"/>
    <xf numFmtId="164" fontId="5" fillId="0" borderId="9" xfId="1" applyNumberFormat="1" applyFont="1" applyBorder="1" applyAlignment="1">
      <alignment horizontal="center"/>
    </xf>
    <xf numFmtId="167" fontId="5" fillId="0" borderId="10" xfId="1" applyNumberFormat="1" applyFont="1" applyBorder="1"/>
    <xf numFmtId="0" fontId="5" fillId="0" borderId="9" xfId="0" applyFont="1" applyBorder="1" applyAlignment="1">
      <alignment horizontal="left"/>
    </xf>
    <xf numFmtId="43" fontId="5" fillId="0" borderId="0" xfId="1" applyFont="1" applyBorder="1"/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2" xfId="1" applyNumberFormat="1" applyFont="1" applyBorder="1" applyAlignment="1">
      <alignment horizontal="center" wrapText="1"/>
    </xf>
    <xf numFmtId="43" fontId="5" fillId="0" borderId="2" xfId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9" fontId="5" fillId="0" borderId="0" xfId="2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164" fontId="5" fillId="0" borderId="0" xfId="1" applyNumberFormat="1" applyFont="1" applyBorder="1"/>
    <xf numFmtId="164" fontId="5" fillId="0" borderId="8" xfId="1" applyNumberFormat="1" applyFont="1" applyBorder="1"/>
    <xf numFmtId="164" fontId="5" fillId="0" borderId="8" xfId="1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67" fontId="5" fillId="0" borderId="11" xfId="1" applyNumberFormat="1" applyFont="1" applyBorder="1"/>
    <xf numFmtId="164" fontId="5" fillId="0" borderId="11" xfId="1" applyNumberFormat="1" applyFont="1" applyBorder="1"/>
    <xf numFmtId="164" fontId="5" fillId="0" borderId="10" xfId="1" applyNumberFormat="1" applyFont="1" applyBorder="1" applyAlignment="1">
      <alignment horizontal="right"/>
    </xf>
    <xf numFmtId="9" fontId="5" fillId="0" borderId="2" xfId="2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164" fontId="5" fillId="0" borderId="2" xfId="1" applyNumberFormat="1" applyFont="1" applyBorder="1"/>
    <xf numFmtId="164" fontId="5" fillId="0" borderId="3" xfId="0" applyNumberFormat="1" applyFont="1" applyBorder="1"/>
    <xf numFmtId="164" fontId="5" fillId="0" borderId="11" xfId="0" applyNumberFormat="1" applyFont="1" applyBorder="1"/>
    <xf numFmtId="164" fontId="5" fillId="0" borderId="10" xfId="0" applyNumberFormat="1" applyFont="1" applyBorder="1"/>
    <xf numFmtId="9" fontId="4" fillId="0" borderId="0" xfId="2" applyFont="1" applyFill="1" applyAlignment="1"/>
    <xf numFmtId="43" fontId="5" fillId="0" borderId="0" xfId="1" applyFont="1" applyFill="1" applyAlignment="1"/>
    <xf numFmtId="168" fontId="5" fillId="0" borderId="0" xfId="2" applyNumberFormat="1" applyFont="1" applyFill="1" applyAlignment="1">
      <alignment horizontal="center"/>
    </xf>
    <xf numFmtId="164" fontId="5" fillId="0" borderId="0" xfId="1" applyNumberFormat="1" applyFont="1" applyFill="1" applyBorder="1"/>
    <xf numFmtId="164" fontId="5" fillId="0" borderId="2" xfId="1" applyNumberFormat="1" applyFont="1" applyFill="1" applyBorder="1"/>
    <xf numFmtId="164" fontId="5" fillId="0" borderId="10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6" fillId="0" borderId="0" xfId="0" applyFont="1"/>
    <xf numFmtId="164" fontId="5" fillId="0" borderId="0" xfId="0" applyNumberFormat="1" applyFont="1"/>
    <xf numFmtId="0" fontId="4" fillId="0" borderId="0" xfId="16" applyFont="1"/>
    <xf numFmtId="0" fontId="4" fillId="0" borderId="0" xfId="16" applyFont="1" applyAlignment="1">
      <alignment horizontal="center"/>
    </xf>
    <xf numFmtId="0" fontId="4" fillId="0" borderId="1" xfId="16" applyFont="1" applyBorder="1" applyAlignment="1">
      <alignment horizontal="left"/>
    </xf>
    <xf numFmtId="0" fontId="4" fillId="0" borderId="2" xfId="16" applyFont="1" applyBorder="1" applyAlignment="1">
      <alignment horizontal="left"/>
    </xf>
    <xf numFmtId="0" fontId="5" fillId="0" borderId="0" xfId="16" applyFont="1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16" applyFont="1" applyAlignment="1">
      <alignment horizontal="left"/>
    </xf>
    <xf numFmtId="0" fontId="5" fillId="0" borderId="0" xfId="16" applyFont="1"/>
    <xf numFmtId="0" fontId="5" fillId="0" borderId="1" xfId="16" applyFont="1" applyBorder="1" applyAlignment="1">
      <alignment horizontal="left"/>
    </xf>
    <xf numFmtId="0" fontId="5" fillId="0" borderId="2" xfId="16" applyFont="1" applyBorder="1" applyAlignment="1">
      <alignment horizontal="left"/>
    </xf>
    <xf numFmtId="0" fontId="5" fillId="0" borderId="3" xfId="16" applyFont="1" applyBorder="1" applyAlignment="1">
      <alignment horizontal="left"/>
    </xf>
    <xf numFmtId="0" fontId="5" fillId="0" borderId="4" xfId="16" applyFont="1" applyBorder="1" applyAlignment="1">
      <alignment horizontal="center" wrapText="1"/>
    </xf>
    <xf numFmtId="0" fontId="5" fillId="0" borderId="0" xfId="16" quotePrefix="1" applyFont="1" applyAlignment="1">
      <alignment horizontal="center" wrapText="1"/>
    </xf>
    <xf numFmtId="0" fontId="5" fillId="0" borderId="7" xfId="16" applyFont="1" applyBorder="1" applyAlignment="1">
      <alignment horizontal="left"/>
    </xf>
    <xf numFmtId="0" fontId="5" fillId="0" borderId="0" xfId="16" applyFont="1" applyAlignment="1">
      <alignment horizontal="left"/>
    </xf>
    <xf numFmtId="9" fontId="5" fillId="0" borderId="0" xfId="17" applyFont="1" applyFill="1" applyBorder="1" applyAlignment="1"/>
    <xf numFmtId="0" fontId="5" fillId="0" borderId="0" xfId="16" applyFont="1" applyAlignment="1">
      <alignment horizontal="right"/>
    </xf>
    <xf numFmtId="165" fontId="5" fillId="0" borderId="2" xfId="19" applyNumberFormat="1" applyFont="1" applyBorder="1" applyAlignment="1">
      <alignment horizontal="left"/>
    </xf>
    <xf numFmtId="165" fontId="5" fillId="0" borderId="0" xfId="19" applyNumberFormat="1" applyFont="1" applyAlignment="1">
      <alignment horizontal="left"/>
    </xf>
    <xf numFmtId="165" fontId="5" fillId="0" borderId="3" xfId="19" applyNumberFormat="1" applyFont="1" applyBorder="1" applyAlignment="1">
      <alignment horizontal="left"/>
    </xf>
    <xf numFmtId="0" fontId="5" fillId="0" borderId="3" xfId="16" quotePrefix="1" applyFont="1" applyBorder="1" applyAlignment="1">
      <alignment horizontal="center" wrapText="1"/>
    </xf>
    <xf numFmtId="0" fontId="5" fillId="0" borderId="1" xfId="16" applyFont="1" applyBorder="1" applyAlignment="1">
      <alignment horizontal="center" wrapText="1"/>
    </xf>
    <xf numFmtId="0" fontId="5" fillId="0" borderId="2" xfId="16" applyFont="1" applyBorder="1" applyAlignment="1">
      <alignment horizontal="center" wrapText="1"/>
    </xf>
    <xf numFmtId="0" fontId="5" fillId="0" borderId="3" xfId="16" applyFont="1" applyBorder="1" applyAlignment="1">
      <alignment horizontal="center" wrapText="1"/>
    </xf>
    <xf numFmtId="43" fontId="5" fillId="0" borderId="0" xfId="16" applyNumberFormat="1" applyFont="1"/>
    <xf numFmtId="0" fontId="5" fillId="0" borderId="0" xfId="16" applyFont="1" applyAlignment="1">
      <alignment horizontal="center"/>
    </xf>
    <xf numFmtId="0" fontId="5" fillId="0" borderId="9" xfId="16" applyFont="1" applyBorder="1" applyAlignment="1">
      <alignment horizontal="left"/>
    </xf>
    <xf numFmtId="164" fontId="5" fillId="0" borderId="0" xfId="16" applyNumberFormat="1" applyFont="1"/>
    <xf numFmtId="0" fontId="5" fillId="0" borderId="2" xfId="16" applyFont="1" applyBorder="1" applyAlignment="1">
      <alignment horizontal="center"/>
    </xf>
    <xf numFmtId="43" fontId="5" fillId="0" borderId="2" xfId="18" applyFont="1" applyFill="1" applyBorder="1"/>
    <xf numFmtId="164" fontId="5" fillId="0" borderId="2" xfId="16" applyNumberFormat="1" applyFont="1" applyBorder="1"/>
    <xf numFmtId="164" fontId="5" fillId="0" borderId="3" xfId="16" applyNumberFormat="1" applyFont="1" applyBorder="1" applyAlignment="1">
      <alignment horizontal="right"/>
    </xf>
    <xf numFmtId="1" fontId="5" fillId="0" borderId="8" xfId="18" applyNumberFormat="1" applyFont="1" applyFill="1" applyBorder="1"/>
    <xf numFmtId="1" fontId="5" fillId="0" borderId="8" xfId="18" applyNumberFormat="1" applyFont="1" applyFill="1" applyBorder="1" applyAlignment="1">
      <alignment horizontal="right"/>
    </xf>
    <xf numFmtId="164" fontId="5" fillId="0" borderId="11" xfId="16" applyNumberFormat="1" applyFont="1" applyBorder="1"/>
    <xf numFmtId="0" fontId="5" fillId="0" borderId="9" xfId="16" applyFont="1" applyBorder="1" applyAlignment="1">
      <alignment horizontal="center"/>
    </xf>
    <xf numFmtId="168" fontId="5" fillId="0" borderId="11" xfId="17" applyNumberFormat="1" applyFont="1" applyFill="1" applyBorder="1" applyAlignment="1">
      <alignment horizontal="center"/>
    </xf>
    <xf numFmtId="0" fontId="5" fillId="0" borderId="11" xfId="16" applyFont="1" applyBorder="1" applyAlignment="1">
      <alignment horizontal="center"/>
    </xf>
    <xf numFmtId="43" fontId="5" fillId="0" borderId="11" xfId="18" applyFont="1" applyFill="1" applyBorder="1"/>
    <xf numFmtId="43" fontId="5" fillId="0" borderId="5" xfId="18" applyFont="1" applyFill="1" applyBorder="1"/>
    <xf numFmtId="2" fontId="5" fillId="0" borderId="0" xfId="16" applyNumberFormat="1" applyFont="1" applyAlignment="1">
      <alignment horizontal="left"/>
    </xf>
    <xf numFmtId="2" fontId="5" fillId="0" borderId="0" xfId="16" applyNumberFormat="1" applyFont="1" applyAlignment="1">
      <alignment horizontal="center"/>
    </xf>
    <xf numFmtId="0" fontId="5" fillId="0" borderId="5" xfId="16" applyFont="1" applyBorder="1" applyAlignment="1">
      <alignment horizontal="center" wrapText="1"/>
    </xf>
    <xf numFmtId="0" fontId="9" fillId="0" borderId="0" xfId="16" applyFont="1"/>
    <xf numFmtId="0" fontId="9" fillId="0" borderId="11" xfId="16" applyFont="1" applyBorder="1"/>
    <xf numFmtId="0" fontId="9" fillId="0" borderId="10" xfId="16" applyFont="1" applyBorder="1"/>
    <xf numFmtId="43" fontId="9" fillId="0" borderId="0" xfId="1" applyFont="1"/>
    <xf numFmtId="0" fontId="5" fillId="0" borderId="0" xfId="0" quotePrefix="1" applyFont="1" applyAlignment="1">
      <alignment horizontal="center" wrapText="1"/>
    </xf>
    <xf numFmtId="167" fontId="5" fillId="0" borderId="0" xfId="0" applyNumberFormat="1" applyFont="1"/>
    <xf numFmtId="9" fontId="5" fillId="0" borderId="11" xfId="2" applyFont="1" applyBorder="1" applyAlignment="1"/>
    <xf numFmtId="165" fontId="5" fillId="0" borderId="11" xfId="0" applyNumberFormat="1" applyFont="1" applyBorder="1" applyAlignment="1">
      <alignment horizontal="left"/>
    </xf>
    <xf numFmtId="165" fontId="8" fillId="0" borderId="11" xfId="0" applyNumberFormat="1" applyFont="1" applyBorder="1" applyAlignment="1">
      <alignment horizontal="left"/>
    </xf>
    <xf numFmtId="165" fontId="8" fillId="0" borderId="10" xfId="0" applyNumberFormat="1" applyFont="1" applyBorder="1" applyAlignment="1">
      <alignment horizontal="left"/>
    </xf>
    <xf numFmtId="0" fontId="5" fillId="0" borderId="3" xfId="8" applyFont="1" applyBorder="1" applyAlignment="1">
      <alignment horizontal="center" wrapText="1"/>
    </xf>
    <xf numFmtId="1" fontId="5" fillId="0" borderId="8" xfId="1" applyNumberFormat="1" applyFont="1" applyBorder="1" applyAlignment="1">
      <alignment horizontal="right"/>
    </xf>
    <xf numFmtId="1" fontId="5" fillId="0" borderId="10" xfId="1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1" fillId="0" borderId="0" xfId="16" applyFont="1"/>
    <xf numFmtId="0" fontId="12" fillId="0" borderId="7" xfId="16" applyFont="1" applyBorder="1" applyAlignment="1">
      <alignment horizontal="left"/>
    </xf>
    <xf numFmtId="0" fontId="12" fillId="0" borderId="0" xfId="16" applyFont="1" applyAlignment="1">
      <alignment horizontal="left"/>
    </xf>
    <xf numFmtId="0" fontId="10" fillId="0" borderId="0" xfId="16" applyFont="1" applyAlignment="1">
      <alignment horizontal="center"/>
    </xf>
    <xf numFmtId="0" fontId="12" fillId="0" borderId="0" xfId="16" applyFont="1" applyAlignment="1">
      <alignment horizontal="right"/>
    </xf>
    <xf numFmtId="165" fontId="12" fillId="0" borderId="2" xfId="19" applyNumberFormat="1" applyFont="1" applyBorder="1" applyAlignment="1">
      <alignment horizontal="left"/>
    </xf>
    <xf numFmtId="165" fontId="12" fillId="0" borderId="0" xfId="19" applyNumberFormat="1" applyFont="1" applyAlignment="1">
      <alignment horizontal="left"/>
    </xf>
    <xf numFmtId="165" fontId="12" fillId="0" borderId="3" xfId="19" applyNumberFormat="1" applyFont="1" applyBorder="1" applyAlignment="1">
      <alignment horizontal="left"/>
    </xf>
    <xf numFmtId="0" fontId="12" fillId="0" borderId="1" xfId="16" applyFont="1" applyBorder="1" applyAlignment="1">
      <alignment horizontal="center" wrapText="1"/>
    </xf>
    <xf numFmtId="0" fontId="12" fillId="0" borderId="2" xfId="16" applyFont="1" applyBorder="1" applyAlignment="1">
      <alignment horizontal="center" wrapText="1"/>
    </xf>
    <xf numFmtId="43" fontId="12" fillId="0" borderId="2" xfId="18" applyFont="1" applyFill="1" applyBorder="1" applyAlignment="1">
      <alignment horizontal="center" wrapText="1"/>
    </xf>
    <xf numFmtId="0" fontId="12" fillId="0" borderId="3" xfId="16" applyFont="1" applyBorder="1" applyAlignment="1">
      <alignment horizontal="center" wrapText="1"/>
    </xf>
    <xf numFmtId="0" fontId="12" fillId="0" borderId="0" xfId="16" applyFont="1"/>
    <xf numFmtId="168" fontId="12" fillId="0" borderId="0" xfId="17" applyNumberFormat="1" applyFont="1" applyFill="1" applyBorder="1" applyAlignment="1">
      <alignment horizontal="center"/>
    </xf>
    <xf numFmtId="0" fontId="12" fillId="0" borderId="0" xfId="16" applyFont="1" applyAlignment="1">
      <alignment horizontal="center"/>
    </xf>
    <xf numFmtId="164" fontId="12" fillId="0" borderId="0" xfId="18" applyNumberFormat="1" applyFont="1" applyFill="1" applyBorder="1"/>
    <xf numFmtId="167" fontId="12" fillId="0" borderId="0" xfId="18" applyNumberFormat="1" applyFont="1" applyFill="1" applyBorder="1"/>
    <xf numFmtId="164" fontId="12" fillId="0" borderId="5" xfId="18" applyNumberFormat="1" applyFont="1" applyFill="1" applyBorder="1"/>
    <xf numFmtId="164" fontId="12" fillId="0" borderId="6" xfId="18" applyNumberFormat="1" applyFont="1" applyFill="1" applyBorder="1" applyAlignment="1">
      <alignment horizontal="right"/>
    </xf>
    <xf numFmtId="164" fontId="12" fillId="0" borderId="0" xfId="16" applyNumberFormat="1" applyFont="1"/>
    <xf numFmtId="164" fontId="12" fillId="0" borderId="6" xfId="18" applyNumberFormat="1" applyFont="1" applyFill="1" applyBorder="1"/>
    <xf numFmtId="164" fontId="12" fillId="0" borderId="8" xfId="18" applyNumberFormat="1" applyFont="1" applyFill="1" applyBorder="1" applyAlignment="1">
      <alignment horizontal="right"/>
    </xf>
    <xf numFmtId="164" fontId="12" fillId="0" borderId="8" xfId="18" applyNumberFormat="1" applyFont="1" applyFill="1" applyBorder="1"/>
    <xf numFmtId="164" fontId="12" fillId="0" borderId="11" xfId="18" applyNumberFormat="1" applyFont="1" applyFill="1" applyBorder="1"/>
    <xf numFmtId="164" fontId="12" fillId="0" borderId="10" xfId="18" applyNumberFormat="1" applyFont="1" applyFill="1" applyBorder="1" applyAlignment="1">
      <alignment horizontal="right"/>
    </xf>
    <xf numFmtId="168" fontId="12" fillId="0" borderId="2" xfId="17" applyNumberFormat="1" applyFont="1" applyFill="1" applyBorder="1" applyAlignment="1">
      <alignment horizontal="center"/>
    </xf>
    <xf numFmtId="0" fontId="12" fillId="0" borderId="2" xfId="16" applyFont="1" applyBorder="1" applyAlignment="1">
      <alignment horizontal="center"/>
    </xf>
    <xf numFmtId="164" fontId="12" fillId="0" borderId="2" xfId="18" applyNumberFormat="1" applyFont="1" applyFill="1" applyBorder="1"/>
    <xf numFmtId="167" fontId="12" fillId="0" borderId="2" xfId="18" applyNumberFormat="1" applyFont="1" applyFill="1" applyBorder="1"/>
    <xf numFmtId="164" fontId="12" fillId="0" borderId="2" xfId="16" applyNumberFormat="1" applyFont="1" applyBorder="1"/>
    <xf numFmtId="164" fontId="12" fillId="0" borderId="3" xfId="16" applyNumberFormat="1" applyFont="1" applyBorder="1" applyAlignment="1">
      <alignment horizontal="right"/>
    </xf>
    <xf numFmtId="9" fontId="12" fillId="0" borderId="0" xfId="2" applyFont="1" applyFill="1"/>
    <xf numFmtId="43" fontId="12" fillId="0" borderId="0" xfId="18" applyFont="1" applyFill="1"/>
    <xf numFmtId="164" fontId="11" fillId="0" borderId="0" xfId="18" applyNumberFormat="1" applyFont="1" applyFill="1"/>
    <xf numFmtId="43" fontId="11" fillId="0" borderId="0" xfId="18" applyFont="1" applyFill="1"/>
    <xf numFmtId="168" fontId="12" fillId="0" borderId="0" xfId="17" applyNumberFormat="1" applyFont="1" applyFill="1" applyAlignment="1">
      <alignment horizontal="center"/>
    </xf>
    <xf numFmtId="10" fontId="12" fillId="0" borderId="0" xfId="16" applyNumberFormat="1" applyFont="1" applyAlignment="1">
      <alignment horizontal="center"/>
    </xf>
    <xf numFmtId="164" fontId="12" fillId="0" borderId="0" xfId="18" applyNumberFormat="1" applyFont="1" applyFill="1"/>
    <xf numFmtId="164" fontId="11" fillId="0" borderId="0" xfId="16" applyNumberFormat="1" applyFont="1"/>
    <xf numFmtId="168" fontId="11" fillId="0" borderId="0" xfId="16" applyNumberFormat="1" applyFont="1"/>
    <xf numFmtId="168" fontId="12" fillId="0" borderId="0" xfId="2" applyNumberFormat="1" applyFont="1" applyFill="1" applyBorder="1" applyAlignment="1">
      <alignment horizontal="right"/>
    </xf>
    <xf numFmtId="168" fontId="12" fillId="0" borderId="2" xfId="2" applyNumberFormat="1" applyFont="1" applyFill="1" applyBorder="1" applyAlignment="1">
      <alignment horizontal="right"/>
    </xf>
    <xf numFmtId="2" fontId="12" fillId="0" borderId="0" xfId="16" applyNumberFormat="1" applyFont="1" applyAlignment="1">
      <alignment horizontal="center"/>
    </xf>
    <xf numFmtId="9" fontId="12" fillId="0" borderId="0" xfId="17" applyFont="1" applyFill="1" applyBorder="1" applyAlignment="1"/>
    <xf numFmtId="164" fontId="12" fillId="0" borderId="0" xfId="1" applyNumberFormat="1" applyFont="1" applyFill="1" applyBorder="1"/>
    <xf numFmtId="43" fontId="12" fillId="0" borderId="0" xfId="18" applyFont="1" applyFill="1" applyBorder="1"/>
    <xf numFmtId="164" fontId="12" fillId="0" borderId="6" xfId="1" applyNumberFormat="1" applyFont="1" applyFill="1" applyBorder="1"/>
    <xf numFmtId="164" fontId="12" fillId="0" borderId="8" xfId="1" applyNumberFormat="1" applyFont="1" applyFill="1" applyBorder="1"/>
    <xf numFmtId="164" fontId="12" fillId="0" borderId="8" xfId="1" applyNumberFormat="1" applyFont="1" applyFill="1" applyBorder="1" applyAlignment="1">
      <alignment horizontal="right"/>
    </xf>
    <xf numFmtId="1" fontId="12" fillId="0" borderId="10" xfId="1" applyNumberFormat="1" applyFont="1" applyFill="1" applyBorder="1" applyAlignment="1">
      <alignment horizontal="right"/>
    </xf>
    <xf numFmtId="43" fontId="12" fillId="0" borderId="2" xfId="18" applyFont="1" applyFill="1" applyBorder="1"/>
    <xf numFmtId="0" fontId="11" fillId="0" borderId="0" xfId="16" applyFont="1" applyAlignment="1">
      <alignment horizontal="left"/>
    </xf>
    <xf numFmtId="0" fontId="10" fillId="0" borderId="0" xfId="16" applyFont="1" applyAlignment="1">
      <alignment horizontal="left"/>
    </xf>
    <xf numFmtId="0" fontId="14" fillId="0" borderId="0" xfId="16" applyFont="1"/>
    <xf numFmtId="43" fontId="11" fillId="0" borderId="0" xfId="18" applyFont="1" applyFill="1" applyBorder="1" applyAlignment="1"/>
    <xf numFmtId="0" fontId="12" fillId="0" borderId="0" xfId="16" quotePrefix="1" applyFont="1" applyAlignment="1">
      <alignment horizontal="center" wrapText="1"/>
    </xf>
    <xf numFmtId="166" fontId="11" fillId="0" borderId="0" xfId="18" applyNumberFormat="1" applyFont="1" applyFill="1"/>
    <xf numFmtId="43" fontId="12" fillId="0" borderId="1" xfId="18" applyFont="1" applyFill="1" applyBorder="1" applyAlignment="1">
      <alignment horizontal="center" wrapText="1"/>
    </xf>
    <xf numFmtId="0" fontId="12" fillId="0" borderId="3" xfId="16" quotePrefix="1" applyFont="1" applyBorder="1" applyAlignment="1">
      <alignment horizontal="center" wrapText="1"/>
    </xf>
    <xf numFmtId="164" fontId="12" fillId="0" borderId="7" xfId="18" applyNumberFormat="1" applyFont="1" applyFill="1" applyBorder="1" applyAlignment="1">
      <alignment horizontal="center"/>
    </xf>
    <xf numFmtId="167" fontId="12" fillId="0" borderId="8" xfId="18" applyNumberFormat="1" applyFont="1" applyFill="1" applyBorder="1"/>
    <xf numFmtId="43" fontId="11" fillId="0" borderId="0" xfId="16" applyNumberFormat="1" applyFont="1"/>
    <xf numFmtId="0" fontId="12" fillId="0" borderId="9" xfId="16" applyFont="1" applyBorder="1" applyAlignment="1">
      <alignment horizontal="left"/>
    </xf>
    <xf numFmtId="164" fontId="12" fillId="0" borderId="9" xfId="18" applyNumberFormat="1" applyFont="1" applyFill="1" applyBorder="1" applyAlignment="1">
      <alignment horizontal="center"/>
    </xf>
    <xf numFmtId="167" fontId="12" fillId="0" borderId="10" xfId="18" applyNumberFormat="1" applyFont="1" applyFill="1" applyBorder="1"/>
    <xf numFmtId="0" fontId="11" fillId="0" borderId="0" xfId="16" applyFont="1" applyAlignment="1">
      <alignment horizontal="center"/>
    </xf>
    <xf numFmtId="0" fontId="12" fillId="0" borderId="0" xfId="0" applyFont="1"/>
    <xf numFmtId="0" fontId="15" fillId="0" borderId="0" xfId="16" applyFont="1"/>
    <xf numFmtId="168" fontId="15" fillId="0" borderId="0" xfId="16" applyNumberFormat="1" applyFont="1"/>
    <xf numFmtId="168" fontId="12" fillId="0" borderId="0" xfId="16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1" applyNumberFormat="1" applyFont="1"/>
    <xf numFmtId="43" fontId="11" fillId="0" borderId="0" xfId="1" applyFont="1"/>
    <xf numFmtId="0" fontId="11" fillId="0" borderId="0" xfId="0" applyFont="1"/>
    <xf numFmtId="164" fontId="10" fillId="0" borderId="0" xfId="1" applyNumberFormat="1" applyFont="1"/>
    <xf numFmtId="43" fontId="11" fillId="0" borderId="0" xfId="1" applyFont="1" applyBorder="1" applyAlignment="1"/>
    <xf numFmtId="0" fontId="12" fillId="0" borderId="4" xfId="0" applyFont="1" applyBorder="1" applyAlignment="1">
      <alignment horizontal="center" wrapText="1"/>
    </xf>
    <xf numFmtId="43" fontId="12" fillId="0" borderId="1" xfId="1" applyFont="1" applyBorder="1" applyAlignment="1">
      <alignment horizontal="center" wrapText="1"/>
    </xf>
    <xf numFmtId="0" fontId="12" fillId="0" borderId="3" xfId="0" quotePrefix="1" applyFont="1" applyBorder="1" applyAlignment="1">
      <alignment horizontal="center" wrapText="1"/>
    </xf>
    <xf numFmtId="0" fontId="12" fillId="0" borderId="0" xfId="0" quotePrefix="1" applyFont="1" applyAlignment="1">
      <alignment horizontal="center" wrapText="1"/>
    </xf>
    <xf numFmtId="0" fontId="12" fillId="0" borderId="7" xfId="0" applyFont="1" applyBorder="1" applyAlignment="1">
      <alignment horizontal="left"/>
    </xf>
    <xf numFmtId="166" fontId="11" fillId="0" borderId="0" xfId="1" applyNumberFormat="1" applyFont="1"/>
    <xf numFmtId="164" fontId="12" fillId="0" borderId="7" xfId="1" applyNumberFormat="1" applyFont="1" applyBorder="1" applyAlignment="1">
      <alignment horizontal="center"/>
    </xf>
    <xf numFmtId="167" fontId="12" fillId="0" borderId="8" xfId="1" applyNumberFormat="1" applyFont="1" applyBorder="1"/>
    <xf numFmtId="167" fontId="12" fillId="0" borderId="0" xfId="1" applyNumberFormat="1" applyFont="1" applyBorder="1"/>
    <xf numFmtId="43" fontId="11" fillId="0" borderId="0" xfId="0" applyNumberFormat="1" applyFont="1"/>
    <xf numFmtId="0" fontId="12" fillId="0" borderId="9" xfId="0" applyFont="1" applyBorder="1" applyAlignment="1">
      <alignment horizontal="left"/>
    </xf>
    <xf numFmtId="164" fontId="12" fillId="0" borderId="9" xfId="1" applyNumberFormat="1" applyFont="1" applyBorder="1" applyAlignment="1">
      <alignment horizontal="center"/>
    </xf>
    <xf numFmtId="167" fontId="12" fillId="0" borderId="10" xfId="1" applyNumberFormat="1" applyFont="1" applyBorder="1"/>
    <xf numFmtId="43" fontId="12" fillId="0" borderId="0" xfId="1" applyFont="1" applyBorder="1"/>
    <xf numFmtId="167" fontId="12" fillId="0" borderId="0" xfId="0" applyNumberFormat="1" applyFont="1"/>
    <xf numFmtId="164" fontId="12" fillId="0" borderId="0" xfId="0" applyNumberFormat="1" applyFont="1"/>
    <xf numFmtId="0" fontId="12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9" fontId="12" fillId="0" borderId="11" xfId="2" applyFont="1" applyBorder="1" applyAlignment="1"/>
    <xf numFmtId="0" fontId="12" fillId="0" borderId="11" xfId="0" applyFont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64" fontId="12" fillId="0" borderId="2" xfId="1" applyNumberFormat="1" applyFont="1" applyBorder="1" applyAlignment="1">
      <alignment horizontal="center" wrapText="1"/>
    </xf>
    <xf numFmtId="43" fontId="12" fillId="0" borderId="2" xfId="1" applyFont="1" applyBorder="1" applyAlignment="1">
      <alignment horizontal="center" wrapText="1"/>
    </xf>
    <xf numFmtId="0" fontId="12" fillId="0" borderId="3" xfId="8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9" fontId="12" fillId="0" borderId="0" xfId="2" applyFont="1" applyFill="1" applyBorder="1" applyAlignment="1">
      <alignment horizontal="right"/>
    </xf>
    <xf numFmtId="0" fontId="12" fillId="0" borderId="5" xfId="0" applyFont="1" applyBorder="1" applyAlignment="1">
      <alignment horizontal="center"/>
    </xf>
    <xf numFmtId="164" fontId="12" fillId="0" borderId="0" xfId="1" applyNumberFormat="1" applyFont="1" applyBorder="1"/>
    <xf numFmtId="164" fontId="12" fillId="0" borderId="8" xfId="1" applyNumberFormat="1" applyFont="1" applyBorder="1"/>
    <xf numFmtId="164" fontId="12" fillId="0" borderId="8" xfId="1" applyNumberFormat="1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167" fontId="12" fillId="0" borderId="11" xfId="1" applyNumberFormat="1" applyFont="1" applyBorder="1"/>
    <xf numFmtId="164" fontId="12" fillId="0" borderId="11" xfId="1" applyNumberFormat="1" applyFont="1" applyBorder="1"/>
    <xf numFmtId="164" fontId="12" fillId="0" borderId="10" xfId="1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9" fontId="12" fillId="0" borderId="2" xfId="2" applyFont="1" applyFill="1" applyBorder="1" applyAlignment="1">
      <alignment horizontal="right"/>
    </xf>
    <xf numFmtId="0" fontId="12" fillId="0" borderId="2" xfId="0" applyFont="1" applyBorder="1" applyAlignment="1">
      <alignment horizontal="center"/>
    </xf>
    <xf numFmtId="164" fontId="12" fillId="0" borderId="2" xfId="1" applyNumberFormat="1" applyFont="1" applyBorder="1"/>
    <xf numFmtId="167" fontId="12" fillId="0" borderId="2" xfId="1" applyNumberFormat="1" applyFont="1" applyFill="1" applyBorder="1"/>
    <xf numFmtId="167" fontId="12" fillId="0" borderId="2" xfId="1" applyNumberFormat="1" applyFont="1" applyBorder="1"/>
    <xf numFmtId="164" fontId="12" fillId="0" borderId="3" xfId="0" applyNumberFormat="1" applyFont="1" applyBorder="1"/>
    <xf numFmtId="164" fontId="12" fillId="0" borderId="11" xfId="0" applyNumberFormat="1" applyFont="1" applyBorder="1"/>
    <xf numFmtId="164" fontId="12" fillId="0" borderId="10" xfId="0" applyNumberFormat="1" applyFont="1" applyBorder="1"/>
    <xf numFmtId="164" fontId="12" fillId="0" borderId="0" xfId="1" applyNumberFormat="1" applyFont="1"/>
    <xf numFmtId="43" fontId="12" fillId="0" borderId="0" xfId="1" applyFont="1"/>
    <xf numFmtId="43" fontId="12" fillId="0" borderId="0" xfId="1" applyFont="1" applyFill="1" applyAlignment="1"/>
    <xf numFmtId="43" fontId="11" fillId="0" borderId="0" xfId="1" applyFont="1" applyBorder="1"/>
    <xf numFmtId="0" fontId="12" fillId="0" borderId="2" xfId="8" applyFont="1" applyBorder="1" applyAlignment="1">
      <alignment horizontal="center" wrapText="1"/>
    </xf>
    <xf numFmtId="9" fontId="12" fillId="0" borderId="0" xfId="1" applyNumberFormat="1" applyFont="1" applyFill="1" applyAlignment="1"/>
    <xf numFmtId="168" fontId="12" fillId="0" borderId="0" xfId="0" applyNumberFormat="1" applyFont="1" applyAlignment="1">
      <alignment horizontal="center"/>
    </xf>
    <xf numFmtId="168" fontId="12" fillId="0" borderId="0" xfId="2" applyNumberFormat="1" applyFont="1" applyFill="1" applyAlignment="1">
      <alignment horizontal="center"/>
    </xf>
    <xf numFmtId="0" fontId="12" fillId="0" borderId="5" xfId="0" applyFont="1" applyBorder="1" applyAlignment="1">
      <alignment horizontal="center" wrapText="1"/>
    </xf>
    <xf numFmtId="9" fontId="12" fillId="0" borderId="5" xfId="2" applyFont="1" applyFill="1" applyBorder="1" applyAlignment="1">
      <alignment horizontal="right"/>
    </xf>
    <xf numFmtId="164" fontId="12" fillId="0" borderId="5" xfId="1" applyNumberFormat="1" applyFont="1" applyBorder="1"/>
    <xf numFmtId="167" fontId="12" fillId="0" borderId="5" xfId="1" applyNumberFormat="1" applyFont="1" applyBorder="1"/>
    <xf numFmtId="9" fontId="12" fillId="0" borderId="11" xfId="2" applyFont="1" applyFill="1" applyBorder="1" applyAlignment="1">
      <alignment horizontal="right"/>
    </xf>
    <xf numFmtId="1" fontId="12" fillId="0" borderId="8" xfId="1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" fontId="12" fillId="0" borderId="10" xfId="1" applyNumberFormat="1" applyFont="1" applyBorder="1" applyAlignment="1">
      <alignment horizontal="right"/>
    </xf>
    <xf numFmtId="164" fontId="12" fillId="0" borderId="2" xfId="1" applyNumberFormat="1" applyFont="1" applyFill="1" applyBorder="1"/>
    <xf numFmtId="164" fontId="12" fillId="0" borderId="10" xfId="0" applyNumberFormat="1" applyFont="1" applyBorder="1" applyAlignment="1">
      <alignment horizontal="right"/>
    </xf>
    <xf numFmtId="165" fontId="12" fillId="0" borderId="11" xfId="0" applyNumberFormat="1" applyFont="1" applyBorder="1" applyAlignment="1">
      <alignment horizontal="left"/>
    </xf>
    <xf numFmtId="165" fontId="12" fillId="0" borderId="10" xfId="0" applyNumberFormat="1" applyFont="1" applyBorder="1" applyAlignment="1">
      <alignment horizontal="left"/>
    </xf>
    <xf numFmtId="1" fontId="12" fillId="0" borderId="0" xfId="18" applyNumberFormat="1" applyFont="1" applyFill="1" applyBorder="1"/>
    <xf numFmtId="168" fontId="12" fillId="0" borderId="0" xfId="2" applyNumberFormat="1" applyFont="1"/>
    <xf numFmtId="1" fontId="12" fillId="0" borderId="0" xfId="1" applyNumberFormat="1" applyFont="1" applyFill="1" applyBorder="1"/>
    <xf numFmtId="168" fontId="12" fillId="0" borderId="0" xfId="2" applyNumberFormat="1" applyFont="1" applyFill="1" applyAlignment="1"/>
    <xf numFmtId="1" fontId="12" fillId="0" borderId="0" xfId="1" applyNumberFormat="1" applyFont="1" applyBorder="1"/>
    <xf numFmtId="43" fontId="12" fillId="0" borderId="3" xfId="18" applyFont="1" applyFill="1" applyBorder="1" applyAlignment="1">
      <alignment horizontal="center" wrapText="1"/>
    </xf>
    <xf numFmtId="164" fontId="12" fillId="0" borderId="10" xfId="18" applyNumberFormat="1" applyFont="1" applyFill="1" applyBorder="1"/>
    <xf numFmtId="0" fontId="12" fillId="0" borderId="12" xfId="16" applyFont="1" applyBorder="1" applyAlignment="1">
      <alignment horizontal="center" wrapText="1"/>
    </xf>
    <xf numFmtId="164" fontId="12" fillId="0" borderId="13" xfId="18" applyNumberFormat="1" applyFont="1" applyFill="1" applyBorder="1"/>
    <xf numFmtId="164" fontId="12" fillId="0" borderId="14" xfId="18" applyNumberFormat="1" applyFont="1" applyFill="1" applyBorder="1"/>
    <xf numFmtId="0" fontId="3" fillId="0" borderId="0" xfId="0" applyFont="1"/>
    <xf numFmtId="164" fontId="12" fillId="0" borderId="9" xfId="18" applyNumberFormat="1" applyFont="1" applyFill="1" applyBorder="1"/>
    <xf numFmtId="164" fontId="12" fillId="0" borderId="13" xfId="1" applyNumberFormat="1" applyFont="1" applyFill="1" applyBorder="1"/>
    <xf numFmtId="164" fontId="12" fillId="0" borderId="9" xfId="1" applyNumberFormat="1" applyFont="1" applyFill="1" applyBorder="1"/>
    <xf numFmtId="164" fontId="12" fillId="0" borderId="10" xfId="1" applyNumberFormat="1" applyFont="1" applyFill="1" applyBorder="1" applyAlignment="1">
      <alignment horizontal="right"/>
    </xf>
    <xf numFmtId="168" fontId="10" fillId="0" borderId="0" xfId="2" applyNumberFormat="1" applyFont="1" applyFill="1" applyAlignment="1"/>
    <xf numFmtId="164" fontId="12" fillId="0" borderId="2" xfId="1" applyNumberFormat="1" applyFont="1" applyFill="1" applyBorder="1" applyAlignment="1">
      <alignment horizontal="center" wrapText="1"/>
    </xf>
    <xf numFmtId="43" fontId="12" fillId="0" borderId="3" xfId="1" applyFont="1" applyBorder="1" applyAlignment="1">
      <alignment horizontal="center" wrapText="1"/>
    </xf>
    <xf numFmtId="164" fontId="12" fillId="0" borderId="10" xfId="1" applyNumberFormat="1" applyFont="1" applyBorder="1"/>
    <xf numFmtId="167" fontId="12" fillId="0" borderId="6" xfId="1" applyNumberFormat="1" applyFont="1" applyBorder="1"/>
    <xf numFmtId="0" fontId="12" fillId="0" borderId="12" xfId="8" applyFont="1" applyBorder="1" applyAlignment="1">
      <alignment horizontal="center" wrapText="1"/>
    </xf>
    <xf numFmtId="164" fontId="12" fillId="0" borderId="13" xfId="1" applyNumberFormat="1" applyFont="1" applyBorder="1"/>
    <xf numFmtId="164" fontId="12" fillId="0" borderId="14" xfId="1" applyNumberFormat="1" applyFont="1" applyBorder="1"/>
    <xf numFmtId="43" fontId="17" fillId="0" borderId="0" xfId="1" applyFont="1"/>
    <xf numFmtId="0" fontId="17" fillId="0" borderId="0" xfId="0" applyFont="1"/>
    <xf numFmtId="0" fontId="17" fillId="0" borderId="0" xfId="0" applyFont="1" applyAlignment="1">
      <alignment horizontal="center"/>
    </xf>
    <xf numFmtId="164" fontId="17" fillId="0" borderId="0" xfId="1" applyNumberFormat="1" applyFont="1"/>
    <xf numFmtId="164" fontId="12" fillId="0" borderId="5" xfId="1" applyNumberFormat="1" applyFont="1" applyFill="1" applyBorder="1"/>
    <xf numFmtId="164" fontId="12" fillId="0" borderId="6" xfId="1" applyNumberFormat="1" applyFont="1" applyBorder="1"/>
    <xf numFmtId="164" fontId="12" fillId="0" borderId="9" xfId="1" applyNumberFormat="1" applyFont="1" applyBorder="1"/>
    <xf numFmtId="164" fontId="12" fillId="0" borderId="6" xfId="1" applyNumberFormat="1" applyFont="1" applyBorder="1" applyAlignment="1">
      <alignment horizontal="right"/>
    </xf>
    <xf numFmtId="164" fontId="12" fillId="0" borderId="7" xfId="1" applyNumberFormat="1" applyFont="1" applyBorder="1"/>
    <xf numFmtId="43" fontId="17" fillId="0" borderId="0" xfId="1" applyFont="1" applyFill="1"/>
    <xf numFmtId="0" fontId="12" fillId="0" borderId="2" xfId="18" applyNumberFormat="1" applyFont="1" applyFill="1" applyBorder="1" applyAlignment="1">
      <alignment horizontal="center" wrapText="1"/>
    </xf>
    <xf numFmtId="164" fontId="12" fillId="0" borderId="2" xfId="18" applyNumberFormat="1" applyFont="1" applyFill="1" applyBorder="1" applyAlignment="1">
      <alignment horizontal="center" wrapText="1"/>
    </xf>
    <xf numFmtId="0" fontId="12" fillId="0" borderId="1" xfId="16" applyFont="1" applyBorder="1" applyAlignment="1">
      <alignment horizontal="left"/>
    </xf>
    <xf numFmtId="0" fontId="12" fillId="0" borderId="2" xfId="16" applyFont="1" applyBorder="1" applyAlignment="1">
      <alignment horizontal="left"/>
    </xf>
    <xf numFmtId="0" fontId="12" fillId="0" borderId="3" xfId="16" applyFont="1" applyBorder="1" applyAlignment="1">
      <alignment horizontal="left"/>
    </xf>
    <xf numFmtId="0" fontId="17" fillId="0" borderId="0" xfId="16" applyFont="1"/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164" fontId="15" fillId="0" borderId="0" xfId="16" applyNumberFormat="1" applyFont="1"/>
    <xf numFmtId="169" fontId="12" fillId="0" borderId="8" xfId="1" applyNumberFormat="1" applyFont="1" applyBorder="1"/>
    <xf numFmtId="43" fontId="12" fillId="0" borderId="8" xfId="1" applyFont="1" applyBorder="1"/>
    <xf numFmtId="0" fontId="19" fillId="0" borderId="0" xfId="16" applyFont="1"/>
    <xf numFmtId="164" fontId="12" fillId="0" borderId="0" xfId="1" applyNumberFormat="1" applyFont="1" applyFill="1"/>
    <xf numFmtId="43" fontId="12" fillId="0" borderId="0" xfId="1" applyFont="1" applyFill="1"/>
    <xf numFmtId="164" fontId="12" fillId="0" borderId="11" xfId="18" applyNumberFormat="1" applyFont="1" applyFill="1" applyBorder="1" applyAlignment="1">
      <alignment horizontal="center"/>
    </xf>
    <xf numFmtId="164" fontId="12" fillId="0" borderId="10" xfId="18" applyNumberFormat="1" applyFont="1" applyFill="1" applyBorder="1" applyAlignment="1">
      <alignment horizontal="center"/>
    </xf>
    <xf numFmtId="164" fontId="12" fillId="0" borderId="2" xfId="18" applyNumberFormat="1" applyFont="1" applyFill="1" applyBorder="1" applyAlignment="1">
      <alignment horizontal="center" wrapText="1"/>
    </xf>
    <xf numFmtId="164" fontId="12" fillId="0" borderId="3" xfId="18" applyNumberFormat="1" applyFont="1" applyFill="1" applyBorder="1" applyAlignment="1">
      <alignment horizontal="center" wrapText="1"/>
    </xf>
    <xf numFmtId="164" fontId="12" fillId="0" borderId="0" xfId="18" applyNumberFormat="1" applyFont="1" applyFill="1" applyBorder="1" applyAlignment="1">
      <alignment horizontal="center"/>
    </xf>
    <xf numFmtId="164" fontId="12" fillId="0" borderId="8" xfId="18" applyNumberFormat="1" applyFont="1" applyFill="1" applyBorder="1" applyAlignment="1">
      <alignment horizontal="center"/>
    </xf>
    <xf numFmtId="0" fontId="12" fillId="0" borderId="0" xfId="16" applyFont="1"/>
    <xf numFmtId="0" fontId="12" fillId="0" borderId="1" xfId="16" applyFont="1" applyBorder="1" applyAlignment="1">
      <alignment horizontal="left"/>
    </xf>
    <xf numFmtId="0" fontId="12" fillId="0" borderId="2" xfId="16" applyFont="1" applyBorder="1" applyAlignment="1">
      <alignment horizontal="left"/>
    </xf>
    <xf numFmtId="0" fontId="12" fillId="0" borderId="3" xfId="16" applyFont="1" applyBorder="1" applyAlignment="1">
      <alignment horizontal="left"/>
    </xf>
    <xf numFmtId="0" fontId="17" fillId="0" borderId="0" xfId="16" applyFont="1"/>
    <xf numFmtId="164" fontId="5" fillId="0" borderId="0" xfId="18" applyNumberFormat="1" applyFont="1" applyFill="1" applyBorder="1" applyAlignment="1">
      <alignment horizontal="center"/>
    </xf>
    <xf numFmtId="164" fontId="5" fillId="0" borderId="8" xfId="18" applyNumberFormat="1" applyFont="1" applyFill="1" applyBorder="1" applyAlignment="1">
      <alignment horizontal="center"/>
    </xf>
    <xf numFmtId="164" fontId="5" fillId="0" borderId="5" xfId="18" applyNumberFormat="1" applyFont="1" applyFill="1" applyBorder="1" applyAlignment="1">
      <alignment horizontal="center" wrapText="1"/>
    </xf>
    <xf numFmtId="164" fontId="5" fillId="0" borderId="6" xfId="18" applyNumberFormat="1" applyFont="1" applyFill="1" applyBorder="1" applyAlignment="1">
      <alignment horizontal="center" wrapText="1"/>
    </xf>
    <xf numFmtId="164" fontId="5" fillId="0" borderId="11" xfId="18" applyNumberFormat="1" applyFont="1" applyFill="1" applyBorder="1" applyAlignment="1">
      <alignment horizontal="center"/>
    </xf>
    <xf numFmtId="164" fontId="5" fillId="0" borderId="10" xfId="18" applyNumberFormat="1" applyFont="1" applyFill="1" applyBorder="1" applyAlignment="1">
      <alignment horizontal="center"/>
    </xf>
    <xf numFmtId="0" fontId="5" fillId="0" borderId="1" xfId="16" applyFont="1" applyBorder="1" applyAlignment="1">
      <alignment horizontal="left"/>
    </xf>
    <xf numFmtId="0" fontId="5" fillId="0" borderId="2" xfId="16" applyFont="1" applyBorder="1" applyAlignment="1">
      <alignment horizontal="left"/>
    </xf>
    <xf numFmtId="0" fontId="5" fillId="0" borderId="3" xfId="16" applyFont="1" applyBorder="1" applyAlignment="1">
      <alignment horizontal="left"/>
    </xf>
    <xf numFmtId="0" fontId="5" fillId="0" borderId="1" xfId="16" applyFont="1" applyBorder="1" applyAlignment="1">
      <alignment horizontal="left" wrapText="1"/>
    </xf>
    <xf numFmtId="0" fontId="5" fillId="0" borderId="2" xfId="16" applyFont="1" applyBorder="1" applyAlignment="1">
      <alignment horizontal="left" wrapText="1"/>
    </xf>
    <xf numFmtId="0" fontId="5" fillId="0" borderId="3" xfId="16" applyFont="1" applyBorder="1" applyAlignment="1">
      <alignment horizontal="left" wrapText="1"/>
    </xf>
    <xf numFmtId="164" fontId="12" fillId="0" borderId="0" xfId="1" applyNumberFormat="1" applyFont="1" applyBorder="1" applyAlignment="1">
      <alignment horizontal="center"/>
    </xf>
    <xf numFmtId="164" fontId="12" fillId="0" borderId="8" xfId="1" applyNumberFormat="1" applyFont="1" applyBorder="1" applyAlignment="1">
      <alignment horizontal="center"/>
    </xf>
    <xf numFmtId="164" fontId="12" fillId="0" borderId="5" xfId="1" applyNumberFormat="1" applyFont="1" applyBorder="1" applyAlignment="1">
      <alignment horizontal="center" wrapText="1"/>
    </xf>
    <xf numFmtId="164" fontId="12" fillId="0" borderId="6" xfId="1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64" fontId="12" fillId="0" borderId="11" xfId="1" applyNumberFormat="1" applyFont="1" applyBorder="1" applyAlignment="1">
      <alignment horizontal="center"/>
    </xf>
    <xf numFmtId="164" fontId="12" fillId="0" borderId="10" xfId="1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4" fontId="5" fillId="0" borderId="5" xfId="1" applyNumberFormat="1" applyFont="1" applyBorder="1" applyAlignment="1">
      <alignment horizontal="center" wrapText="1"/>
    </xf>
    <xf numFmtId="164" fontId="5" fillId="0" borderId="6" xfId="1" applyNumberFormat="1" applyFont="1" applyBorder="1" applyAlignment="1">
      <alignment horizontal="center" wrapText="1"/>
    </xf>
    <xf numFmtId="164" fontId="5" fillId="0" borderId="0" xfId="1" applyNumberFormat="1" applyFont="1" applyBorder="1" applyAlignment="1">
      <alignment horizontal="center"/>
    </xf>
    <xf numFmtId="164" fontId="5" fillId="0" borderId="8" xfId="1" applyNumberFormat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</cellXfs>
  <cellStyles count="20">
    <cellStyle name="Comma" xfId="1" builtinId="3"/>
    <cellStyle name="Comma 2" xfId="5" xr:uid="{00000000-0005-0000-0000-000001000000}"/>
    <cellStyle name="Comma 2 2" xfId="6" xr:uid="{00000000-0005-0000-0000-000002000000}"/>
    <cellStyle name="Comma 3" xfId="4" xr:uid="{00000000-0005-0000-0000-000003000000}"/>
    <cellStyle name="Comma 3 2" xfId="7" xr:uid="{00000000-0005-0000-0000-000004000000}"/>
    <cellStyle name="Comma 4" xfId="18" xr:uid="{00000000-0005-0000-0000-000005000000}"/>
    <cellStyle name="Normal" xfId="0" builtinId="0"/>
    <cellStyle name="Normal 2" xfId="8" xr:uid="{00000000-0005-0000-0000-000007000000}"/>
    <cellStyle name="Normal 3" xfId="3" xr:uid="{00000000-0005-0000-0000-000008000000}"/>
    <cellStyle name="Normal 3 2" xfId="9" xr:uid="{00000000-0005-0000-0000-000009000000}"/>
    <cellStyle name="Normal 3 3" xfId="19" xr:uid="{00000000-0005-0000-0000-00000A000000}"/>
    <cellStyle name="Normal 4" xfId="10" xr:uid="{00000000-0005-0000-0000-00000B000000}"/>
    <cellStyle name="Normal 4 2" xfId="11" xr:uid="{00000000-0005-0000-0000-00000C000000}"/>
    <cellStyle name="Normal 5" xfId="16" xr:uid="{00000000-0005-0000-0000-00000D000000}"/>
    <cellStyle name="Percent" xfId="2" builtinId="5"/>
    <cellStyle name="Percent 2" xfId="12" xr:uid="{00000000-0005-0000-0000-00000F000000}"/>
    <cellStyle name="Percent 2 2" xfId="13" xr:uid="{00000000-0005-0000-0000-000010000000}"/>
    <cellStyle name="Percent 3" xfId="14" xr:uid="{00000000-0005-0000-0000-000011000000}"/>
    <cellStyle name="Percent 3 2" xfId="15" xr:uid="{00000000-0005-0000-0000-000012000000}"/>
    <cellStyle name="Percent 4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E469-1F20-4C26-B1B4-16CEA80AEE10}">
  <sheetPr>
    <pageSetUpPr fitToPage="1"/>
  </sheetPr>
  <dimension ref="A1:AL93"/>
  <sheetViews>
    <sheetView view="pageLayout" topLeftCell="A63" zoomScale="130" zoomScaleNormal="80" zoomScalePageLayoutView="130" workbookViewId="0">
      <selection activeCell="F69" sqref="F69"/>
    </sheetView>
  </sheetViews>
  <sheetFormatPr defaultColWidth="9.7265625" defaultRowHeight="14.5" x14ac:dyDescent="0.35"/>
  <cols>
    <col min="1" max="1" width="21.54296875" style="211" customWidth="1"/>
    <col min="2" max="2" width="8.453125" style="211" customWidth="1"/>
    <col min="3" max="3" width="10" style="211" customWidth="1"/>
    <col min="4" max="4" width="13.54296875" style="211" customWidth="1"/>
    <col min="5" max="5" width="16.453125" style="211" bestFit="1" customWidth="1"/>
    <col min="6" max="6" width="15.453125" style="211" customWidth="1"/>
    <col min="7" max="7" width="14.7265625" style="211" customWidth="1"/>
    <col min="8" max="8" width="15.1796875" style="211" customWidth="1"/>
    <col min="9" max="9" width="15.26953125" style="211" customWidth="1"/>
    <col min="10" max="10" width="11.453125" style="211" bestFit="1" customWidth="1"/>
    <col min="11" max="11" width="6.54296875" style="211" customWidth="1"/>
    <col min="12" max="12" width="20.1796875" style="211" bestFit="1" customWidth="1"/>
    <col min="13" max="13" width="8.453125" style="211" customWidth="1"/>
    <col min="14" max="14" width="10" style="211" customWidth="1"/>
    <col min="15" max="15" width="13.54296875" style="211" customWidth="1"/>
    <col min="16" max="16" width="10.81640625" style="211" customWidth="1"/>
    <col min="17" max="17" width="12.81640625" style="211" bestFit="1" customWidth="1"/>
    <col min="18" max="18" width="13.26953125" style="211" customWidth="1"/>
    <col min="19" max="19" width="15.81640625" style="211" customWidth="1"/>
    <col min="20" max="20" width="12.453125" style="211" customWidth="1"/>
    <col min="21" max="21" width="11.26953125" style="211" customWidth="1"/>
    <col min="22" max="22" width="9.7265625" style="211"/>
    <col min="23" max="23" width="16.1796875" style="296" customWidth="1"/>
    <col min="24" max="24" width="8.453125" style="296" customWidth="1"/>
    <col min="25" max="25" width="5" style="296" bestFit="1" customWidth="1"/>
    <col min="26" max="26" width="12.26953125" style="296" bestFit="1" customWidth="1"/>
    <col min="27" max="27" width="9.453125" style="296" customWidth="1"/>
    <col min="28" max="28" width="13.1796875" style="296" customWidth="1"/>
    <col min="29" max="30" width="12.7265625" style="296" customWidth="1"/>
    <col min="31" max="31" width="12" style="296" customWidth="1"/>
    <col min="32" max="32" width="11.7265625" style="296" customWidth="1"/>
    <col min="33" max="37" width="9.7265625" style="296"/>
    <col min="38" max="16384" width="9.7265625" style="211"/>
  </cols>
  <sheetData>
    <row r="1" spans="1:38" ht="15.5" x14ac:dyDescent="0.35">
      <c r="B1" s="156"/>
      <c r="D1" s="93"/>
      <c r="E1" s="156"/>
      <c r="F1" s="156"/>
      <c r="G1" s="156"/>
      <c r="H1" s="85"/>
      <c r="I1" s="85"/>
      <c r="J1" s="85"/>
      <c r="K1" s="156"/>
      <c r="N1" s="156"/>
      <c r="O1" s="156"/>
      <c r="P1" s="156"/>
      <c r="Q1" s="156"/>
      <c r="R1" s="156"/>
      <c r="S1" s="156"/>
    </row>
    <row r="2" spans="1:38" ht="17.5" x14ac:dyDescent="0.35">
      <c r="A2" s="196" t="s">
        <v>0</v>
      </c>
      <c r="L2" s="197"/>
      <c r="M2" s="86"/>
      <c r="N2" s="85"/>
      <c r="O2" s="85"/>
    </row>
    <row r="3" spans="1:38" ht="15.5" x14ac:dyDescent="0.35">
      <c r="N3" s="85"/>
      <c r="O3" s="144"/>
    </row>
    <row r="4" spans="1:38" ht="15.5" x14ac:dyDescent="0.35">
      <c r="A4" s="87" t="s">
        <v>1</v>
      </c>
      <c r="B4" s="88"/>
      <c r="C4" s="8">
        <v>0.01</v>
      </c>
      <c r="E4" s="176" t="s">
        <v>26</v>
      </c>
      <c r="F4" s="156">
        <v>3</v>
      </c>
      <c r="G4" s="156"/>
      <c r="H4" s="156"/>
      <c r="I4" s="156"/>
      <c r="J4" s="156"/>
      <c r="K4" s="144"/>
      <c r="L4" s="85"/>
      <c r="V4" s="144"/>
    </row>
    <row r="5" spans="1:38" x14ac:dyDescent="0.35">
      <c r="E5" s="198"/>
      <c r="F5" s="198"/>
      <c r="G5" s="198"/>
      <c r="H5" s="144"/>
      <c r="I5" s="144"/>
      <c r="J5" s="144"/>
    </row>
    <row r="6" spans="1:38" x14ac:dyDescent="0.35">
      <c r="A6" s="152" t="s">
        <v>3</v>
      </c>
      <c r="B6" s="335" t="s">
        <v>4</v>
      </c>
      <c r="C6" s="336"/>
      <c r="G6" s="296"/>
      <c r="H6" s="296"/>
      <c r="I6" s="199"/>
      <c r="J6" s="199"/>
    </row>
    <row r="7" spans="1:38" x14ac:dyDescent="0.35">
      <c r="A7" s="145" t="s">
        <v>9</v>
      </c>
      <c r="B7" s="337">
        <v>2000000</v>
      </c>
      <c r="C7" s="338"/>
      <c r="D7" s="200"/>
      <c r="E7" s="201" t="s">
        <v>5</v>
      </c>
      <c r="F7" s="202" t="s">
        <v>6</v>
      </c>
      <c r="G7" s="296"/>
      <c r="H7" s="296"/>
      <c r="I7" s="160"/>
      <c r="J7" s="160"/>
    </row>
    <row r="8" spans="1:38" x14ac:dyDescent="0.35">
      <c r="A8" s="145" t="s">
        <v>13</v>
      </c>
      <c r="B8" s="337">
        <v>5000000</v>
      </c>
      <c r="C8" s="338"/>
      <c r="D8" s="200"/>
      <c r="E8" s="203">
        <v>1</v>
      </c>
      <c r="F8" s="204">
        <v>1.3</v>
      </c>
      <c r="G8" s="296"/>
      <c r="H8" s="296"/>
      <c r="I8" s="160"/>
      <c r="J8" s="160"/>
      <c r="K8" s="205"/>
    </row>
    <row r="9" spans="1:38" x14ac:dyDescent="0.35">
      <c r="A9" s="145" t="s">
        <v>15</v>
      </c>
      <c r="B9" s="337">
        <v>2000000</v>
      </c>
      <c r="C9" s="338"/>
      <c r="D9" s="200"/>
      <c r="E9" s="203">
        <v>2</v>
      </c>
      <c r="F9" s="204">
        <f>F10+(($F$8-$F$14)/6)</f>
        <v>1.1333333333333333</v>
      </c>
      <c r="G9" s="296"/>
      <c r="H9" s="296"/>
      <c r="I9" s="160"/>
      <c r="J9" s="160"/>
    </row>
    <row r="10" spans="1:38" x14ac:dyDescent="0.35">
      <c r="A10" s="145" t="s">
        <v>17</v>
      </c>
      <c r="B10" s="337">
        <v>500000</v>
      </c>
      <c r="C10" s="338"/>
      <c r="D10" s="200"/>
      <c r="E10" s="203">
        <v>3</v>
      </c>
      <c r="F10" s="204">
        <f>F11+(($F$8-$F$14)/6)</f>
        <v>0.96666666666666656</v>
      </c>
      <c r="G10" s="296"/>
      <c r="H10" s="296"/>
      <c r="I10" s="160"/>
      <c r="J10" s="160"/>
    </row>
    <row r="11" spans="1:38" x14ac:dyDescent="0.35">
      <c r="A11" s="145" t="s">
        <v>16</v>
      </c>
      <c r="B11" s="337">
        <v>7000000</v>
      </c>
      <c r="C11" s="338"/>
      <c r="D11" s="200"/>
      <c r="E11" s="203">
        <v>4</v>
      </c>
      <c r="F11" s="204">
        <f>F12+(($F$8-$F$14)/6)</f>
        <v>0.79999999999999993</v>
      </c>
      <c r="G11" s="296"/>
      <c r="H11" s="296"/>
      <c r="I11" s="160"/>
      <c r="J11" s="160"/>
    </row>
    <row r="12" spans="1:38" x14ac:dyDescent="0.35">
      <c r="A12" s="145" t="s">
        <v>18</v>
      </c>
      <c r="B12" s="337">
        <v>3000000</v>
      </c>
      <c r="C12" s="338"/>
      <c r="D12" s="200"/>
      <c r="E12" s="203">
        <v>5</v>
      </c>
      <c r="F12" s="204">
        <f>F13+(($F$8-$F$14)/6)</f>
        <v>0.6333333333333333</v>
      </c>
      <c r="G12" s="296"/>
      <c r="H12" s="296"/>
      <c r="I12" s="160"/>
      <c r="J12" s="160"/>
    </row>
    <row r="13" spans="1:38" x14ac:dyDescent="0.35">
      <c r="A13" s="206" t="s">
        <v>14</v>
      </c>
      <c r="B13" s="333">
        <v>4000000</v>
      </c>
      <c r="C13" s="334"/>
      <c r="D13" s="200"/>
      <c r="E13" s="203">
        <v>6</v>
      </c>
      <c r="F13" s="204">
        <f>F14+(($F$8-$F$14)/6)</f>
        <v>0.46666666666666667</v>
      </c>
      <c r="G13" s="296"/>
      <c r="H13" s="296"/>
      <c r="I13" s="160"/>
      <c r="J13" s="160"/>
    </row>
    <row r="14" spans="1:38" x14ac:dyDescent="0.35">
      <c r="A14" s="206" t="s">
        <v>19</v>
      </c>
      <c r="B14" s="333">
        <f>SUM(B7:C13)</f>
        <v>23500000</v>
      </c>
      <c r="C14" s="334"/>
      <c r="D14" s="200"/>
      <c r="E14" s="207">
        <v>7</v>
      </c>
      <c r="F14" s="208">
        <v>0.3</v>
      </c>
      <c r="G14" s="296"/>
      <c r="H14" s="296"/>
      <c r="I14" s="160"/>
      <c r="J14" s="160"/>
    </row>
    <row r="15" spans="1:38" x14ac:dyDescent="0.35">
      <c r="A15" s="158"/>
      <c r="B15" s="158"/>
      <c r="C15" s="158"/>
      <c r="D15" s="159"/>
      <c r="E15" s="189"/>
      <c r="F15" s="189"/>
      <c r="G15" s="296"/>
      <c r="H15" s="296"/>
      <c r="I15" s="163"/>
      <c r="J15" s="163"/>
    </row>
    <row r="16" spans="1:38" x14ac:dyDescent="0.35">
      <c r="A16" s="156"/>
      <c r="B16" s="156"/>
      <c r="C16" s="144"/>
      <c r="D16" s="144"/>
      <c r="E16" s="144"/>
      <c r="F16" s="144"/>
      <c r="G16" s="144"/>
      <c r="H16" s="144"/>
      <c r="I16" s="144"/>
      <c r="J16" s="144"/>
      <c r="K16" s="144"/>
      <c r="V16" s="144"/>
      <c r="AL16" s="144"/>
    </row>
    <row r="17" spans="1:38" x14ac:dyDescent="0.35">
      <c r="A17" s="156"/>
      <c r="B17" s="156"/>
      <c r="C17" s="144"/>
      <c r="D17" s="144"/>
      <c r="E17" s="144"/>
      <c r="F17" s="144"/>
      <c r="G17" s="144"/>
      <c r="H17" s="144"/>
      <c r="I17" s="144"/>
      <c r="J17" s="144"/>
      <c r="K17" s="144"/>
      <c r="L17" s="158"/>
      <c r="M17" s="179"/>
      <c r="N17" s="209"/>
      <c r="O17" s="177"/>
      <c r="P17" s="178"/>
      <c r="Q17" s="178"/>
      <c r="R17" s="178"/>
      <c r="S17" s="144"/>
      <c r="T17" s="144"/>
      <c r="U17" s="144"/>
      <c r="V17" s="144"/>
      <c r="AL17" s="144"/>
    </row>
    <row r="18" spans="1:38" x14ac:dyDescent="0.35">
      <c r="A18" s="340" t="s">
        <v>59</v>
      </c>
      <c r="B18" s="341"/>
      <c r="C18" s="341"/>
      <c r="D18" s="341"/>
      <c r="E18" s="341"/>
      <c r="F18" s="341"/>
      <c r="G18" s="341"/>
      <c r="H18" s="341"/>
      <c r="I18" s="341"/>
      <c r="J18" s="342"/>
      <c r="K18" s="144"/>
      <c r="L18" s="340" t="s">
        <v>60</v>
      </c>
      <c r="M18" s="341"/>
      <c r="N18" s="341"/>
      <c r="O18" s="341"/>
      <c r="P18" s="341"/>
      <c r="Q18" s="341"/>
      <c r="R18" s="341"/>
      <c r="S18" s="341"/>
      <c r="T18" s="341"/>
      <c r="U18" s="342"/>
      <c r="V18" s="144"/>
      <c r="AL18" s="144"/>
    </row>
    <row r="19" spans="1:38" ht="16" x14ac:dyDescent="0.35">
      <c r="A19" s="145" t="s">
        <v>7</v>
      </c>
      <c r="B19" s="146"/>
      <c r="C19" s="147"/>
      <c r="D19" s="187">
        <v>0.2</v>
      </c>
      <c r="E19" s="148"/>
      <c r="F19" s="148"/>
      <c r="G19" s="148" t="s">
        <v>40</v>
      </c>
      <c r="H19" s="149">
        <v>1.1439447912125305</v>
      </c>
      <c r="I19" s="150"/>
      <c r="J19" s="151"/>
      <c r="K19" s="89"/>
      <c r="L19" s="145" t="s">
        <v>7</v>
      </c>
      <c r="M19" s="146"/>
      <c r="N19" s="147"/>
      <c r="O19" s="187">
        <v>0.2</v>
      </c>
      <c r="Q19" s="148"/>
      <c r="R19" s="148" t="s">
        <v>40</v>
      </c>
      <c r="S19" s="149">
        <v>0.87996646543116797</v>
      </c>
      <c r="T19" s="150"/>
      <c r="U19" s="151"/>
      <c r="V19" s="89"/>
      <c r="AL19" s="89"/>
    </row>
    <row r="20" spans="1:38" ht="26.5" x14ac:dyDescent="0.35">
      <c r="A20" s="152" t="s">
        <v>3</v>
      </c>
      <c r="B20" s="153" t="s">
        <v>10</v>
      </c>
      <c r="C20" s="153" t="s">
        <v>5</v>
      </c>
      <c r="D20" s="320" t="s">
        <v>21</v>
      </c>
      <c r="E20" s="291" t="s">
        <v>11</v>
      </c>
      <c r="F20" s="154" t="s">
        <v>47</v>
      </c>
      <c r="G20" s="291" t="s">
        <v>48</v>
      </c>
      <c r="H20" s="293" t="s">
        <v>22</v>
      </c>
      <c r="I20" s="153" t="s">
        <v>23</v>
      </c>
      <c r="J20" s="155" t="s">
        <v>12</v>
      </c>
      <c r="K20" s="156"/>
      <c r="L20" s="152" t="s">
        <v>3</v>
      </c>
      <c r="M20" s="153" t="s">
        <v>10</v>
      </c>
      <c r="N20" s="153" t="s">
        <v>5</v>
      </c>
      <c r="O20" s="320" t="s">
        <v>21</v>
      </c>
      <c r="P20" s="291" t="s">
        <v>11</v>
      </c>
      <c r="Q20" s="154" t="s">
        <v>47</v>
      </c>
      <c r="R20" s="291" t="s">
        <v>48</v>
      </c>
      <c r="S20" s="293" t="s">
        <v>22</v>
      </c>
      <c r="T20" s="153" t="s">
        <v>23</v>
      </c>
      <c r="U20" s="155" t="s">
        <v>12</v>
      </c>
    </row>
    <row r="21" spans="1:38" x14ac:dyDescent="0.35">
      <c r="A21" s="145" t="s">
        <v>14</v>
      </c>
      <c r="B21" s="157">
        <v>0.65</v>
      </c>
      <c r="C21" s="158">
        <v>1</v>
      </c>
      <c r="D21" s="159">
        <f>$D$19*VLOOKUP(A21,$A$6:$C$13,2,FALSE)</f>
        <v>800000</v>
      </c>
      <c r="E21" s="204">
        <f>H21/D21</f>
        <v>1.5922237699775637</v>
      </c>
      <c r="F21" s="159">
        <f>MAX(D21*$F$4*(B21-$B$29)/$B$29,0)</f>
        <v>84076.433121019174</v>
      </c>
      <c r="G21" s="166">
        <f>$H$19*D21*VLOOKUP(C21,$E$8:$G$14,2,FALSE)</f>
        <v>1189702.5828610316</v>
      </c>
      <c r="H21" s="294">
        <f>G21+F21</f>
        <v>1273779.0159820509</v>
      </c>
      <c r="I21" s="159">
        <f>IF(H21&gt;D21,D21,H21)</f>
        <v>800000</v>
      </c>
      <c r="J21" s="165">
        <f>IF(H21&gt;D21,H21-D21,"0")</f>
        <v>473779.01598205091</v>
      </c>
      <c r="K21" s="163"/>
      <c r="L21" s="145" t="s">
        <v>14</v>
      </c>
      <c r="M21" s="157">
        <v>0.52</v>
      </c>
      <c r="N21" s="158">
        <v>1</v>
      </c>
      <c r="O21" s="159">
        <f t="shared" ref="O21:O27" si="0">$O$19*VLOOKUP(L21,$A$6:$C$13,2,FALSE)</f>
        <v>800000</v>
      </c>
      <c r="P21" s="204">
        <f t="shared" ref="P21:P28" si="1">S21/O21</f>
        <v>2.0149241469960022</v>
      </c>
      <c r="Q21" s="159">
        <f t="shared" ref="Q21:Q27" si="2">MAX(O21*$F$4*(M21-$M$29)/$M$29,0)</f>
        <v>696774.19354838703</v>
      </c>
      <c r="R21" s="166">
        <f t="shared" ref="R21:R27" si="3">$S$19*O21*VLOOKUP(N21,$E$8:$G$14,2,FALSE)</f>
        <v>915165.12404841476</v>
      </c>
      <c r="S21" s="294">
        <f>R21+Q21</f>
        <v>1611939.3175968018</v>
      </c>
      <c r="T21" s="161">
        <f t="shared" ref="T21:T27" si="4">IF(S21&gt;O21,O21,S21)</f>
        <v>800000</v>
      </c>
      <c r="U21" s="164">
        <f t="shared" ref="U21:U27" si="5">IF(S21&gt;O21,S21-O21,"0")</f>
        <v>811939.31759680179</v>
      </c>
    </row>
    <row r="22" spans="1:38" x14ac:dyDescent="0.35">
      <c r="A22" s="145" t="s">
        <v>18</v>
      </c>
      <c r="B22" s="157">
        <v>0.64</v>
      </c>
      <c r="C22" s="158">
        <v>2</v>
      </c>
      <c r="D22" s="159">
        <f t="shared" ref="D22" si="6">$D$19*VLOOKUP(A22,$A$6:$C$13,2,FALSE)</f>
        <v>600000</v>
      </c>
      <c r="E22" s="204">
        <f t="shared" ref="E22" si="7">H22/D22</f>
        <v>1.3537956041385322</v>
      </c>
      <c r="F22" s="159">
        <f t="shared" ref="F22:F27" si="8">MAX(D22*$F$4*(B22-$B$29)/$B$29,0)</f>
        <v>34394.904458598758</v>
      </c>
      <c r="G22" s="166">
        <f t="shared" ref="G22" si="9">$H$19*D22*VLOOKUP(C22,$E$8:$G$14,2,FALSE)</f>
        <v>777882.45802452066</v>
      </c>
      <c r="H22" s="294">
        <f t="shared" ref="H22" si="10">G22+F22</f>
        <v>812277.36248311936</v>
      </c>
      <c r="I22" s="159">
        <f t="shared" ref="I22" si="11">IF(H22&gt;D22,D22,H22)</f>
        <v>600000</v>
      </c>
      <c r="J22" s="165">
        <f t="shared" ref="J22" si="12">IF(H22&gt;D22,H22-D22,"0")</f>
        <v>212277.36248311936</v>
      </c>
      <c r="K22" s="163"/>
      <c r="L22" s="145" t="s">
        <v>16</v>
      </c>
      <c r="M22" s="157">
        <v>0.44900000000000001</v>
      </c>
      <c r="N22" s="158">
        <v>2</v>
      </c>
      <c r="O22" s="159">
        <f t="shared" si="0"/>
        <v>1400000</v>
      </c>
      <c r="P22" s="204">
        <f t="shared" si="1"/>
        <v>1.3397270892752573</v>
      </c>
      <c r="Q22" s="159">
        <f t="shared" si="2"/>
        <v>479404.4665012405</v>
      </c>
      <c r="R22" s="166">
        <f t="shared" si="3"/>
        <v>1396213.4584841197</v>
      </c>
      <c r="S22" s="294">
        <f t="shared" ref="S22:S27" si="13">R22+Q22</f>
        <v>1875617.9249853604</v>
      </c>
      <c r="T22" s="159">
        <f t="shared" si="4"/>
        <v>1400000</v>
      </c>
      <c r="U22" s="166">
        <f t="shared" si="5"/>
        <v>475617.92498536035</v>
      </c>
      <c r="V22" s="177"/>
    </row>
    <row r="23" spans="1:38" x14ac:dyDescent="0.35">
      <c r="A23" s="145" t="s">
        <v>16</v>
      </c>
      <c r="B23" s="157">
        <v>0.63</v>
      </c>
      <c r="C23" s="158">
        <v>3</v>
      </c>
      <c r="D23" s="159">
        <f>$D$19*VLOOKUP(A23,$A$6:$C$13,2,FALSE)</f>
        <v>1400000</v>
      </c>
      <c r="E23" s="204">
        <f t="shared" ref="E23:E28" si="14">H23/D23</f>
        <v>1.1153674382995014</v>
      </c>
      <c r="F23" s="159">
        <f t="shared" si="8"/>
        <v>13375.79617834396</v>
      </c>
      <c r="G23" s="166">
        <f>$H$19*D23*VLOOKUP(C23,$E$8:$G$14,2,FALSE)</f>
        <v>1548138.6174409578</v>
      </c>
      <c r="H23" s="294">
        <f>G23+F23</f>
        <v>1561514.4136193017</v>
      </c>
      <c r="I23" s="159">
        <f>IF(H23&gt;D23,D23,H23)</f>
        <v>1400000</v>
      </c>
      <c r="J23" s="165">
        <f>IF(H23&gt;D23,H23-D23,"0")</f>
        <v>161514.41361930175</v>
      </c>
      <c r="K23" s="163"/>
      <c r="L23" s="145" t="s">
        <v>15</v>
      </c>
      <c r="M23" s="157">
        <v>0.42599999999999999</v>
      </c>
      <c r="N23" s="158">
        <v>3</v>
      </c>
      <c r="O23" s="159">
        <f t="shared" si="0"/>
        <v>400000</v>
      </c>
      <c r="P23" s="204">
        <f t="shared" si="1"/>
        <v>1.0218501308100956</v>
      </c>
      <c r="Q23" s="159">
        <f t="shared" si="2"/>
        <v>68486.352357319993</v>
      </c>
      <c r="R23" s="166">
        <f t="shared" si="3"/>
        <v>340253.69996671827</v>
      </c>
      <c r="S23" s="294">
        <f t="shared" si="13"/>
        <v>408740.05232403823</v>
      </c>
      <c r="T23" s="159">
        <f t="shared" si="4"/>
        <v>400000</v>
      </c>
      <c r="U23" s="166">
        <f t="shared" si="5"/>
        <v>8740.0523240382317</v>
      </c>
      <c r="V23" s="177"/>
    </row>
    <row r="24" spans="1:38" x14ac:dyDescent="0.35">
      <c r="A24" s="145" t="s">
        <v>17</v>
      </c>
      <c r="B24" s="157">
        <v>0.628</v>
      </c>
      <c r="C24" s="158">
        <v>4</v>
      </c>
      <c r="D24" s="159">
        <f>$D$19*VLOOKUP(A24,$A$6:$C$13,2,FALSE)</f>
        <v>100000</v>
      </c>
      <c r="E24" s="204">
        <f t="shared" si="14"/>
        <v>0.91515583297002423</v>
      </c>
      <c r="F24" s="286">
        <f t="shared" si="8"/>
        <v>0</v>
      </c>
      <c r="G24" s="166">
        <f>$H$19*D24*VLOOKUP(C24,$E$8:$G$14,2,FALSE)</f>
        <v>91515.58329700242</v>
      </c>
      <c r="H24" s="294">
        <f>G24+F24</f>
        <v>91515.58329700242</v>
      </c>
      <c r="I24" s="159">
        <f>IF(H24&gt;D24,D24,H24)</f>
        <v>91515.58329700242</v>
      </c>
      <c r="J24" s="165" t="str">
        <f>IF(H24&gt;D24,H24-D24,"0")</f>
        <v>0</v>
      </c>
      <c r="K24" s="163"/>
      <c r="L24" s="145" t="s">
        <v>17</v>
      </c>
      <c r="M24" s="157">
        <v>0.38500000000000001</v>
      </c>
      <c r="N24" s="158">
        <v>4</v>
      </c>
      <c r="O24" s="159">
        <f t="shared" si="0"/>
        <v>100000</v>
      </c>
      <c r="P24" s="204">
        <f t="shared" si="1"/>
        <v>0.70397317234493439</v>
      </c>
      <c r="Q24" s="286">
        <f t="shared" si="2"/>
        <v>0</v>
      </c>
      <c r="R24" s="166">
        <f t="shared" si="3"/>
        <v>70397.317234493443</v>
      </c>
      <c r="S24" s="294">
        <f t="shared" si="13"/>
        <v>70397.317234493443</v>
      </c>
      <c r="T24" s="159">
        <f t="shared" si="4"/>
        <v>70397.317234493443</v>
      </c>
      <c r="U24" s="165" t="str">
        <f t="shared" si="5"/>
        <v>0</v>
      </c>
      <c r="V24" s="177"/>
    </row>
    <row r="25" spans="1:38" x14ac:dyDescent="0.35">
      <c r="A25" s="145" t="s">
        <v>15</v>
      </c>
      <c r="B25" s="157">
        <v>0.626</v>
      </c>
      <c r="C25" s="158">
        <v>5</v>
      </c>
      <c r="D25" s="159">
        <f>$D$19*VLOOKUP(A25,$A$6:$C$13,2,FALSE)</f>
        <v>400000</v>
      </c>
      <c r="E25" s="204">
        <f t="shared" si="14"/>
        <v>0.72449836776793586</v>
      </c>
      <c r="F25" s="286">
        <f t="shared" si="8"/>
        <v>0</v>
      </c>
      <c r="G25" s="166">
        <f>$H$19*D25*VLOOKUP(C25,$E$8:$G$14,2,FALSE)</f>
        <v>289799.34710717434</v>
      </c>
      <c r="H25" s="294">
        <f>G25+F25</f>
        <v>289799.34710717434</v>
      </c>
      <c r="I25" s="159">
        <f>IF(H25&gt;D25,D25,H25)</f>
        <v>289799.34710717434</v>
      </c>
      <c r="J25" s="165" t="str">
        <f>IF(H25&gt;D25,H25-D25,"0")</f>
        <v>0</v>
      </c>
      <c r="K25" s="163"/>
      <c r="L25" s="145" t="s">
        <v>9</v>
      </c>
      <c r="M25" s="157">
        <v>0.375</v>
      </c>
      <c r="N25" s="158">
        <v>5</v>
      </c>
      <c r="O25" s="159">
        <f t="shared" si="0"/>
        <v>400000</v>
      </c>
      <c r="P25" s="204">
        <f t="shared" si="1"/>
        <v>0.55731209477307309</v>
      </c>
      <c r="Q25" s="286">
        <f t="shared" si="2"/>
        <v>0</v>
      </c>
      <c r="R25" s="166">
        <f t="shared" si="3"/>
        <v>222924.83790922922</v>
      </c>
      <c r="S25" s="294">
        <f t="shared" si="13"/>
        <v>222924.83790922922</v>
      </c>
      <c r="T25" s="159">
        <f t="shared" si="4"/>
        <v>222924.83790922922</v>
      </c>
      <c r="U25" s="165" t="str">
        <f t="shared" si="5"/>
        <v>0</v>
      </c>
      <c r="V25" s="177"/>
    </row>
    <row r="26" spans="1:38" x14ac:dyDescent="0.35">
      <c r="A26" s="145" t="s">
        <v>13</v>
      </c>
      <c r="B26" s="157">
        <v>0.624</v>
      </c>
      <c r="C26" s="158">
        <v>6</v>
      </c>
      <c r="D26" s="159">
        <f>$D$19*VLOOKUP(A26,$A$6:$C$13,2,FALSE)</f>
        <v>1000000</v>
      </c>
      <c r="E26" s="204">
        <f t="shared" si="14"/>
        <v>0.53384090256584749</v>
      </c>
      <c r="F26" s="286">
        <f t="shared" si="8"/>
        <v>0</v>
      </c>
      <c r="G26" s="166">
        <f>$H$19*D26*VLOOKUP(C26,$E$8:$G$14,2,FALSE)</f>
        <v>533840.9025658475</v>
      </c>
      <c r="H26" s="294">
        <f>G26+F26</f>
        <v>533840.9025658475</v>
      </c>
      <c r="I26" s="159">
        <f>IF(H26&gt;D26,D26,H26)</f>
        <v>533840.9025658475</v>
      </c>
      <c r="J26" s="165" t="str">
        <f>IF(H26&gt;D26,H26-D26,"0")</f>
        <v>0</v>
      </c>
      <c r="K26" s="163"/>
      <c r="L26" s="145" t="s">
        <v>18</v>
      </c>
      <c r="M26" s="157">
        <v>0.36099999999999999</v>
      </c>
      <c r="N26" s="158">
        <v>6</v>
      </c>
      <c r="O26" s="159">
        <f t="shared" si="0"/>
        <v>600000</v>
      </c>
      <c r="P26" s="204">
        <f t="shared" si="1"/>
        <v>0.41065101720121172</v>
      </c>
      <c r="Q26" s="286">
        <f t="shared" si="2"/>
        <v>0</v>
      </c>
      <c r="R26" s="166">
        <f t="shared" si="3"/>
        <v>246390.61032072702</v>
      </c>
      <c r="S26" s="294">
        <f t="shared" si="13"/>
        <v>246390.61032072702</v>
      </c>
      <c r="T26" s="159">
        <f t="shared" si="4"/>
        <v>246390.61032072702</v>
      </c>
      <c r="U26" s="165" t="str">
        <f t="shared" si="5"/>
        <v>0</v>
      </c>
      <c r="V26" s="177"/>
    </row>
    <row r="27" spans="1:38" x14ac:dyDescent="0.35">
      <c r="A27" s="145" t="s">
        <v>9</v>
      </c>
      <c r="B27" s="157">
        <v>0.59399999999999997</v>
      </c>
      <c r="C27" s="158">
        <v>7</v>
      </c>
      <c r="D27" s="159">
        <f>$D$19*VLOOKUP(A27,$A$6:$C$13,2,FALSE)</f>
        <v>400000</v>
      </c>
      <c r="E27" s="204">
        <f t="shared" si="14"/>
        <v>0.34318343736375906</v>
      </c>
      <c r="F27" s="286">
        <f t="shared" si="8"/>
        <v>0</v>
      </c>
      <c r="G27" s="166">
        <f>$H$19*D27*VLOOKUP(C27,$E$8:$G$14,2,FALSE)</f>
        <v>137273.37494550363</v>
      </c>
      <c r="H27" s="294">
        <f>G27+F27</f>
        <v>137273.37494550363</v>
      </c>
      <c r="I27" s="297">
        <f>IF(H27&gt;D27,D27,H27)</f>
        <v>137273.37494550363</v>
      </c>
      <c r="J27" s="168" t="str">
        <f>IF(H27&gt;D27,H27-D27,"0")</f>
        <v>0</v>
      </c>
      <c r="K27" s="163"/>
      <c r="L27" s="145" t="s">
        <v>13</v>
      </c>
      <c r="M27" s="157">
        <v>0.31900000000000001</v>
      </c>
      <c r="N27" s="158">
        <v>7</v>
      </c>
      <c r="O27" s="159">
        <f t="shared" si="0"/>
        <v>1000000</v>
      </c>
      <c r="P27" s="208">
        <f t="shared" si="1"/>
        <v>0.26398993962935036</v>
      </c>
      <c r="Q27" s="286">
        <f t="shared" si="2"/>
        <v>0</v>
      </c>
      <c r="R27" s="292">
        <f t="shared" si="3"/>
        <v>263989.93962935038</v>
      </c>
      <c r="S27" s="295">
        <f t="shared" si="13"/>
        <v>263989.93962935038</v>
      </c>
      <c r="T27" s="167">
        <f t="shared" si="4"/>
        <v>263989.93962935038</v>
      </c>
      <c r="U27" s="168" t="str">
        <f t="shared" si="5"/>
        <v>0</v>
      </c>
      <c r="V27" s="177"/>
    </row>
    <row r="28" spans="1:38" x14ac:dyDescent="0.35">
      <c r="A28" s="321" t="s">
        <v>19</v>
      </c>
      <c r="B28" s="169">
        <f>AVERAGE(B21:B27)</f>
        <v>0.62742857142857145</v>
      </c>
      <c r="C28" s="170"/>
      <c r="D28" s="171">
        <f>SUM(D21:D27)</f>
        <v>4700000</v>
      </c>
      <c r="E28" s="172">
        <f t="shared" si="14"/>
        <v>1</v>
      </c>
      <c r="F28" s="171"/>
      <c r="G28" s="172"/>
      <c r="H28" s="173">
        <f>SUM(H21:H27)</f>
        <v>4700000</v>
      </c>
      <c r="I28" s="173">
        <f>SUM(I21:I27)</f>
        <v>3852429.2079155282</v>
      </c>
      <c r="J28" s="174">
        <f>SUM(J21:J27)</f>
        <v>847570.79208447202</v>
      </c>
      <c r="K28" s="156"/>
      <c r="L28" s="321" t="s">
        <v>19</v>
      </c>
      <c r="M28" s="169">
        <f>AVERAGE(M21:M27)</f>
        <v>0.40499999999999997</v>
      </c>
      <c r="N28" s="170"/>
      <c r="O28" s="171">
        <f>SUM(O21:O27)</f>
        <v>4700000</v>
      </c>
      <c r="P28" s="172">
        <f t="shared" si="1"/>
        <v>1</v>
      </c>
      <c r="Q28" s="172"/>
      <c r="R28" s="172"/>
      <c r="S28" s="173">
        <f>SUM(S21:S27)</f>
        <v>4700000</v>
      </c>
      <c r="T28" s="173">
        <f>SUM(T21:T27)</f>
        <v>3403702.7050937996</v>
      </c>
      <c r="U28" s="174">
        <f>SUM(U21:U27)</f>
        <v>1296297.2949062004</v>
      </c>
      <c r="V28" s="177"/>
    </row>
    <row r="29" spans="1:38" ht="16" x14ac:dyDescent="0.35">
      <c r="A29" s="158" t="s">
        <v>49</v>
      </c>
      <c r="B29" s="179">
        <v>0.628</v>
      </c>
      <c r="C29" s="213"/>
      <c r="D29" s="175"/>
      <c r="E29" s="176"/>
      <c r="F29" s="176"/>
      <c r="G29" s="176"/>
      <c r="H29" s="156"/>
      <c r="I29" s="156"/>
      <c r="J29" s="156"/>
      <c r="K29" s="156"/>
      <c r="L29" s="158" t="s">
        <v>49</v>
      </c>
      <c r="M29" s="179">
        <v>0.40300000000000002</v>
      </c>
      <c r="N29" s="213"/>
      <c r="O29" s="177"/>
      <c r="P29" s="178"/>
      <c r="Q29" s="178"/>
      <c r="R29" s="178"/>
      <c r="S29" s="144"/>
      <c r="T29" s="144"/>
      <c r="U29" s="144"/>
      <c r="V29" s="182"/>
    </row>
    <row r="30" spans="1:38" x14ac:dyDescent="0.35">
      <c r="B30" s="179"/>
      <c r="C30" s="180"/>
      <c r="D30" s="181"/>
      <c r="E30" s="176"/>
      <c r="F30" s="176"/>
      <c r="G30" s="176"/>
      <c r="H30" s="156"/>
      <c r="I30" s="156"/>
      <c r="J30" s="156"/>
      <c r="K30" s="156"/>
      <c r="L30" s="182"/>
      <c r="M30" s="183"/>
      <c r="N30" s="183"/>
    </row>
    <row r="31" spans="1:38" x14ac:dyDescent="0.35">
      <c r="A31" s="340" t="s">
        <v>61</v>
      </c>
      <c r="B31" s="341"/>
      <c r="C31" s="341"/>
      <c r="D31" s="341"/>
      <c r="E31" s="341"/>
      <c r="F31" s="341"/>
      <c r="G31" s="341"/>
      <c r="H31" s="341"/>
      <c r="I31" s="341"/>
      <c r="J31" s="342"/>
      <c r="K31" s="156"/>
      <c r="L31" s="340" t="s">
        <v>62</v>
      </c>
      <c r="M31" s="341"/>
      <c r="N31" s="341"/>
      <c r="O31" s="341"/>
      <c r="P31" s="341"/>
      <c r="Q31" s="341"/>
      <c r="R31" s="341"/>
      <c r="S31" s="341"/>
      <c r="T31" s="341"/>
      <c r="U31" s="342"/>
    </row>
    <row r="32" spans="1:38" ht="16" x14ac:dyDescent="0.35">
      <c r="A32" s="145" t="s">
        <v>7</v>
      </c>
      <c r="B32" s="146"/>
      <c r="C32" s="147"/>
      <c r="D32" s="187">
        <v>0.2</v>
      </c>
      <c r="E32" s="148"/>
      <c r="F32" s="148"/>
      <c r="G32" s="148" t="s">
        <v>40</v>
      </c>
      <c r="H32" s="149">
        <v>1.1511577266458588</v>
      </c>
      <c r="I32" s="150"/>
      <c r="J32" s="151"/>
      <c r="K32" s="156"/>
      <c r="L32" s="145" t="s">
        <v>7</v>
      </c>
      <c r="M32" s="146"/>
      <c r="N32" s="147"/>
      <c r="O32" s="187">
        <v>0.2</v>
      </c>
      <c r="P32" s="148"/>
      <c r="Q32" s="148"/>
      <c r="R32" s="148" t="s">
        <v>40</v>
      </c>
      <c r="S32" s="149">
        <v>0.99197542336747946</v>
      </c>
      <c r="T32" s="150"/>
      <c r="U32" s="151"/>
    </row>
    <row r="33" spans="1:22" ht="26.5" x14ac:dyDescent="0.35">
      <c r="A33" s="152" t="s">
        <v>3</v>
      </c>
      <c r="B33" s="153" t="s">
        <v>50</v>
      </c>
      <c r="C33" s="153" t="s">
        <v>5</v>
      </c>
      <c r="D33" s="320" t="s">
        <v>21</v>
      </c>
      <c r="E33" s="291" t="s">
        <v>11</v>
      </c>
      <c r="F33" s="154" t="s">
        <v>47</v>
      </c>
      <c r="G33" s="291" t="s">
        <v>48</v>
      </c>
      <c r="H33" s="293" t="s">
        <v>22</v>
      </c>
      <c r="I33" s="153" t="s">
        <v>23</v>
      </c>
      <c r="J33" s="155" t="s">
        <v>12</v>
      </c>
      <c r="K33" s="156"/>
      <c r="L33" s="152" t="s">
        <v>3</v>
      </c>
      <c r="M33" s="153" t="s">
        <v>10</v>
      </c>
      <c r="N33" s="153" t="s">
        <v>5</v>
      </c>
      <c r="O33" s="320" t="s">
        <v>21</v>
      </c>
      <c r="P33" s="291" t="s">
        <v>11</v>
      </c>
      <c r="Q33" s="154" t="s">
        <v>47</v>
      </c>
      <c r="R33" s="291" t="s">
        <v>48</v>
      </c>
      <c r="S33" s="155" t="s">
        <v>22</v>
      </c>
      <c r="T33" s="153" t="s">
        <v>23</v>
      </c>
      <c r="U33" s="155" t="s">
        <v>12</v>
      </c>
    </row>
    <row r="34" spans="1:22" x14ac:dyDescent="0.35">
      <c r="A34" s="145" t="s">
        <v>14</v>
      </c>
      <c r="B34" s="184">
        <v>0.58499999999999996</v>
      </c>
      <c r="C34" s="158">
        <v>1</v>
      </c>
      <c r="D34" s="159">
        <f t="shared" ref="D34:D40" si="15">$D$32*VLOOKUP(A34,$A$6:$C$13,2,FALSE)</f>
        <v>800000</v>
      </c>
      <c r="E34" s="204">
        <f t="shared" ref="E34:E40" si="16">H34/D34</f>
        <v>1.5486789576830948</v>
      </c>
      <c r="F34" s="188">
        <f>MAX(D34*$F$4*(B34-$B$42)/$B$42,0)</f>
        <v>41739.130434782652</v>
      </c>
      <c r="G34" s="191">
        <f t="shared" ref="G34:G40" si="17">$H$32*D34*VLOOKUP(C34,$E$8:$G$14,2,FALSE)</f>
        <v>1197204.0357116931</v>
      </c>
      <c r="H34" s="298">
        <f>G34+F34</f>
        <v>1238943.1661464758</v>
      </c>
      <c r="I34" s="188">
        <f>IF(H34&gt;D34,D34,H34)</f>
        <v>800000</v>
      </c>
      <c r="J34" s="192">
        <f>IF(H34&gt;D34,H34-D34,"0")</f>
        <v>438943.16614647582</v>
      </c>
      <c r="K34" s="156"/>
      <c r="L34" s="145" t="s">
        <v>13</v>
      </c>
      <c r="M34" s="157">
        <v>0.67200000000000004</v>
      </c>
      <c r="N34" s="158">
        <v>1</v>
      </c>
      <c r="O34" s="159">
        <f t="shared" ref="O34:O40" si="18">$O$32*VLOOKUP(L34,$A$6:$C$14,2,FALSE)</f>
        <v>1000000</v>
      </c>
      <c r="P34" s="204">
        <f t="shared" ref="P34:P41" si="19">S34/O34</f>
        <v>1.7416228448982716</v>
      </c>
      <c r="Q34" s="159">
        <f t="shared" ref="Q34:Q40" si="20">MAX(O34*$F$4*(M34-$M$42)/$M$42,0)</f>
        <v>452054.79452054837</v>
      </c>
      <c r="R34" s="166">
        <f t="shared" ref="R34:R40" si="21">$S$32*O34*VLOOKUP(N34,$E$8:$G$14,2,FALSE)</f>
        <v>1289568.0503777233</v>
      </c>
      <c r="S34" s="166">
        <f t="shared" ref="S34:S40" si="22">R34+Q34</f>
        <v>1741622.8448982716</v>
      </c>
      <c r="T34" s="161">
        <f t="shared" ref="T34:T40" si="23">IF(S34&gt;O34,O34,S34)</f>
        <v>1000000</v>
      </c>
      <c r="U34" s="164">
        <f t="shared" ref="U34:U40" si="24">IF(S34&gt;O34,S34-O34,"0")</f>
        <v>741622.84489827161</v>
      </c>
    </row>
    <row r="35" spans="1:22" x14ac:dyDescent="0.35">
      <c r="A35" s="145" t="s">
        <v>18</v>
      </c>
      <c r="B35" s="184">
        <v>0.58250000000000002</v>
      </c>
      <c r="C35" s="158">
        <v>2</v>
      </c>
      <c r="D35" s="159">
        <f t="shared" si="15"/>
        <v>600000</v>
      </c>
      <c r="E35" s="204">
        <f t="shared" si="16"/>
        <v>1.3437758583145822</v>
      </c>
      <c r="F35" s="188">
        <f t="shared" ref="F35:F40" si="25">MAX(D35*$F$4*(B35-$B$42)/$B$42,0)</f>
        <v>23478.260869565416</v>
      </c>
      <c r="G35" s="191">
        <f t="shared" si="17"/>
        <v>782787.25411918398</v>
      </c>
      <c r="H35" s="298">
        <f>G35+F35</f>
        <v>806265.5149887494</v>
      </c>
      <c r="I35" s="188">
        <f>IF(H35&gt;D35,D35,H35)</f>
        <v>600000</v>
      </c>
      <c r="J35" s="192">
        <f>IF(H35&gt;D35,H35-D35,"0")</f>
        <v>206265.5149887494</v>
      </c>
      <c r="K35" s="156"/>
      <c r="L35" s="145" t="s">
        <v>14</v>
      </c>
      <c r="M35" s="157">
        <v>0.60399999999999998</v>
      </c>
      <c r="N35" s="158">
        <v>2</v>
      </c>
      <c r="O35" s="159">
        <f t="shared" si="18"/>
        <v>800000</v>
      </c>
      <c r="P35" s="204">
        <f t="shared" si="19"/>
        <v>1.2269785391772077</v>
      </c>
      <c r="Q35" s="159">
        <f t="shared" si="20"/>
        <v>82191.780821917884</v>
      </c>
      <c r="R35" s="166">
        <f t="shared" si="21"/>
        <v>899391.05051984813</v>
      </c>
      <c r="S35" s="166">
        <f t="shared" si="22"/>
        <v>981582.83134176605</v>
      </c>
      <c r="T35" s="159">
        <f t="shared" si="23"/>
        <v>800000</v>
      </c>
      <c r="U35" s="166">
        <f t="shared" si="24"/>
        <v>181582.83134176605</v>
      </c>
    </row>
    <row r="36" spans="1:22" x14ac:dyDescent="0.35">
      <c r="A36" s="145" t="s">
        <v>16</v>
      </c>
      <c r="B36" s="184">
        <v>0.57999999999999996</v>
      </c>
      <c r="C36" s="158">
        <v>3</v>
      </c>
      <c r="D36" s="159">
        <f t="shared" si="15"/>
        <v>1400000</v>
      </c>
      <c r="E36" s="204">
        <f t="shared" si="16"/>
        <v>1.1388727589460692</v>
      </c>
      <c r="F36" s="188">
        <f t="shared" si="25"/>
        <v>36521.73913043482</v>
      </c>
      <c r="G36" s="191">
        <f t="shared" si="17"/>
        <v>1557900.123394062</v>
      </c>
      <c r="H36" s="298">
        <f>G36+F36</f>
        <v>1594421.8625244969</v>
      </c>
      <c r="I36" s="188">
        <f>IF(H36&gt;D36,D36,H36)</f>
        <v>1400000</v>
      </c>
      <c r="J36" s="192">
        <f>IF(H36&gt;D36,H36-D36,"0")</f>
        <v>194421.86252449686</v>
      </c>
      <c r="K36" s="156"/>
      <c r="L36" s="145" t="s">
        <v>9</v>
      </c>
      <c r="M36" s="157">
        <v>0.59499999999999997</v>
      </c>
      <c r="N36" s="158">
        <v>3</v>
      </c>
      <c r="O36" s="159">
        <f t="shared" si="18"/>
        <v>400000</v>
      </c>
      <c r="P36" s="204">
        <f t="shared" si="19"/>
        <v>1.0154164252369653</v>
      </c>
      <c r="Q36" s="159">
        <f t="shared" si="20"/>
        <v>22602.739726027416</v>
      </c>
      <c r="R36" s="166">
        <f t="shared" si="21"/>
        <v>383563.8303687587</v>
      </c>
      <c r="S36" s="166">
        <f t="shared" si="22"/>
        <v>406166.57009478612</v>
      </c>
      <c r="T36" s="159">
        <f t="shared" si="23"/>
        <v>400000</v>
      </c>
      <c r="U36" s="165">
        <f t="shared" si="24"/>
        <v>6166.5700947861187</v>
      </c>
    </row>
    <row r="37" spans="1:22" x14ac:dyDescent="0.35">
      <c r="A37" s="145" t="s">
        <v>17</v>
      </c>
      <c r="B37" s="184">
        <v>0.57750000000000001</v>
      </c>
      <c r="C37" s="158">
        <v>4</v>
      </c>
      <c r="D37" s="159">
        <f t="shared" si="15"/>
        <v>100000</v>
      </c>
      <c r="E37" s="204">
        <f t="shared" si="16"/>
        <v>0.93396965957755684</v>
      </c>
      <c r="F37" s="188">
        <f t="shared" si="25"/>
        <v>1304.3478260869867</v>
      </c>
      <c r="G37" s="191">
        <f t="shared" si="17"/>
        <v>92092.6181316687</v>
      </c>
      <c r="H37" s="298">
        <f>G37+F37</f>
        <v>93396.965957755689</v>
      </c>
      <c r="I37" s="188">
        <f>IF(H37&gt;D37,D37,H37)</f>
        <v>93396.965957755689</v>
      </c>
      <c r="J37" s="192" t="str">
        <f>IF(H37&gt;D37,H37-D37,"0")</f>
        <v>0</v>
      </c>
      <c r="K37" s="156"/>
      <c r="L37" s="145" t="s">
        <v>16</v>
      </c>
      <c r="M37" s="157">
        <v>0.55900000000000005</v>
      </c>
      <c r="N37" s="158">
        <v>4</v>
      </c>
      <c r="O37" s="159">
        <f t="shared" si="18"/>
        <v>1400000</v>
      </c>
      <c r="P37" s="204">
        <f t="shared" si="19"/>
        <v>0.79358033869398359</v>
      </c>
      <c r="Q37" s="286">
        <f t="shared" si="20"/>
        <v>0</v>
      </c>
      <c r="R37" s="166">
        <f t="shared" si="21"/>
        <v>1111012.474171577</v>
      </c>
      <c r="S37" s="166">
        <f t="shared" si="22"/>
        <v>1111012.474171577</v>
      </c>
      <c r="T37" s="159">
        <f t="shared" si="23"/>
        <v>1111012.474171577</v>
      </c>
      <c r="U37" s="165" t="str">
        <f t="shared" si="24"/>
        <v>0</v>
      </c>
    </row>
    <row r="38" spans="1:22" x14ac:dyDescent="0.35">
      <c r="A38" s="145" t="s">
        <v>15</v>
      </c>
      <c r="B38" s="184">
        <v>0.57399999999999995</v>
      </c>
      <c r="C38" s="158">
        <v>5</v>
      </c>
      <c r="D38" s="159">
        <f t="shared" si="15"/>
        <v>400000</v>
      </c>
      <c r="E38" s="204">
        <f t="shared" si="16"/>
        <v>0.72906656020904381</v>
      </c>
      <c r="F38" s="288">
        <f t="shared" si="25"/>
        <v>0</v>
      </c>
      <c r="G38" s="191">
        <f t="shared" si="17"/>
        <v>291626.62408361753</v>
      </c>
      <c r="H38" s="298">
        <f>G38+F38</f>
        <v>291626.62408361753</v>
      </c>
      <c r="I38" s="188">
        <f>IF(H38&gt;D38,D38,H38)</f>
        <v>291626.62408361753</v>
      </c>
      <c r="J38" s="192" t="str">
        <f>IF(H38&gt;D38,H38-D38,"0")</f>
        <v>0</v>
      </c>
      <c r="K38" s="156"/>
      <c r="L38" s="145" t="s">
        <v>17</v>
      </c>
      <c r="M38" s="157">
        <v>0.54700000000000004</v>
      </c>
      <c r="N38" s="158">
        <v>5</v>
      </c>
      <c r="O38" s="159">
        <f t="shared" si="18"/>
        <v>100000</v>
      </c>
      <c r="P38" s="204">
        <f t="shared" si="19"/>
        <v>0.62825110146607033</v>
      </c>
      <c r="Q38" s="286">
        <f t="shared" si="20"/>
        <v>0</v>
      </c>
      <c r="R38" s="166">
        <f t="shared" si="21"/>
        <v>62825.110146607032</v>
      </c>
      <c r="S38" s="166">
        <f t="shared" si="22"/>
        <v>62825.110146607032</v>
      </c>
      <c r="T38" s="159">
        <f t="shared" si="23"/>
        <v>62825.110146607032</v>
      </c>
      <c r="U38" s="165" t="str">
        <f t="shared" si="24"/>
        <v>0</v>
      </c>
    </row>
    <row r="39" spans="1:22" x14ac:dyDescent="0.35">
      <c r="A39" s="145" t="s">
        <v>13</v>
      </c>
      <c r="B39" s="184">
        <v>0.57250000000000001</v>
      </c>
      <c r="C39" s="158">
        <v>6</v>
      </c>
      <c r="D39" s="159">
        <f t="shared" si="15"/>
        <v>1000000</v>
      </c>
      <c r="E39" s="204">
        <f t="shared" si="16"/>
        <v>0.53720693910140083</v>
      </c>
      <c r="F39" s="288">
        <f t="shared" si="25"/>
        <v>0</v>
      </c>
      <c r="G39" s="191">
        <f t="shared" si="17"/>
        <v>537206.93910140079</v>
      </c>
      <c r="H39" s="298">
        <f t="shared" ref="H39" si="26">G39+F39</f>
        <v>537206.93910140079</v>
      </c>
      <c r="I39" s="188">
        <f t="shared" ref="I39" si="27">IF(H39&gt;D39,D39,H39)</f>
        <v>537206.93910140079</v>
      </c>
      <c r="J39" s="192" t="str">
        <f t="shared" ref="J39" si="28">IF(H39&gt;D39,H39-D39,"0")</f>
        <v>0</v>
      </c>
      <c r="K39" s="156"/>
      <c r="L39" s="145" t="s">
        <v>18</v>
      </c>
      <c r="M39" s="157">
        <v>0.54500000000000004</v>
      </c>
      <c r="N39" s="158">
        <v>6</v>
      </c>
      <c r="O39" s="159">
        <f t="shared" si="18"/>
        <v>600000</v>
      </c>
      <c r="P39" s="204">
        <f t="shared" si="19"/>
        <v>0.46292186423815707</v>
      </c>
      <c r="Q39" s="286">
        <f t="shared" si="20"/>
        <v>0</v>
      </c>
      <c r="R39" s="166">
        <f t="shared" si="21"/>
        <v>277753.11854289426</v>
      </c>
      <c r="S39" s="166">
        <f t="shared" si="22"/>
        <v>277753.11854289426</v>
      </c>
      <c r="T39" s="159">
        <f t="shared" si="23"/>
        <v>277753.11854289426</v>
      </c>
      <c r="U39" s="165" t="str">
        <f t="shared" si="24"/>
        <v>0</v>
      </c>
    </row>
    <row r="40" spans="1:22" x14ac:dyDescent="0.35">
      <c r="A40" s="145" t="s">
        <v>9</v>
      </c>
      <c r="B40" s="184">
        <v>0.56999999999999995</v>
      </c>
      <c r="C40" s="158">
        <v>7</v>
      </c>
      <c r="D40" s="159">
        <f t="shared" si="15"/>
        <v>400000</v>
      </c>
      <c r="E40" s="204">
        <f t="shared" si="16"/>
        <v>0.34534731799375762</v>
      </c>
      <c r="F40" s="288">
        <f t="shared" si="25"/>
        <v>0</v>
      </c>
      <c r="G40" s="191">
        <f t="shared" si="17"/>
        <v>138138.92719750304</v>
      </c>
      <c r="H40" s="298">
        <f>G40+F40</f>
        <v>138138.92719750304</v>
      </c>
      <c r="I40" s="299">
        <f>IF(H40&gt;D40,D40,H40)</f>
        <v>138138.92719750304</v>
      </c>
      <c r="J40" s="300" t="str">
        <f>IF(H40&gt;D40,H40-D40,"0")</f>
        <v>0</v>
      </c>
      <c r="K40" s="156"/>
      <c r="L40" s="145" t="s">
        <v>15</v>
      </c>
      <c r="M40" s="157">
        <v>0.53700000000000003</v>
      </c>
      <c r="N40" s="158">
        <v>7</v>
      </c>
      <c r="O40" s="159">
        <f t="shared" si="18"/>
        <v>400000</v>
      </c>
      <c r="P40" s="208">
        <f t="shared" si="19"/>
        <v>0.29759262701024386</v>
      </c>
      <c r="Q40" s="286">
        <f t="shared" si="20"/>
        <v>0</v>
      </c>
      <c r="R40" s="292">
        <f t="shared" si="21"/>
        <v>119037.05080409754</v>
      </c>
      <c r="S40" s="292">
        <f t="shared" si="22"/>
        <v>119037.05080409754</v>
      </c>
      <c r="T40" s="159">
        <f t="shared" si="23"/>
        <v>119037.05080409754</v>
      </c>
      <c r="U40" s="165" t="str">
        <f t="shared" si="24"/>
        <v>0</v>
      </c>
    </row>
    <row r="41" spans="1:22" x14ac:dyDescent="0.35">
      <c r="A41" s="321" t="s">
        <v>19</v>
      </c>
      <c r="B41" s="185">
        <f>AVERAGE(B34:B40)</f>
        <v>0.5773571428571429</v>
      </c>
      <c r="C41" s="170"/>
      <c r="D41" s="171">
        <f>SUM(D34:D40)</f>
        <v>4700000</v>
      </c>
      <c r="E41" s="172">
        <f t="shared" ref="E41" si="29">H41/D41</f>
        <v>0.99999999999999978</v>
      </c>
      <c r="F41" s="172"/>
      <c r="G41" s="172"/>
      <c r="H41" s="173">
        <f>SUM(H34:H40)</f>
        <v>4699999.9999999991</v>
      </c>
      <c r="I41" s="173">
        <f>SUM(I34:I40)</f>
        <v>3860369.4563402771</v>
      </c>
      <c r="J41" s="174">
        <f>SUM(J34:J40)</f>
        <v>839630.54365972208</v>
      </c>
      <c r="K41" s="156"/>
      <c r="L41" s="321" t="s">
        <v>19</v>
      </c>
      <c r="M41" s="169">
        <f>AVERAGE(M34:M40)</f>
        <v>0.57985714285714285</v>
      </c>
      <c r="N41" s="170"/>
      <c r="O41" s="171">
        <f>SUM(O34:O40)</f>
        <v>4700000</v>
      </c>
      <c r="P41" s="172">
        <f t="shared" si="19"/>
        <v>1</v>
      </c>
      <c r="Q41" s="172"/>
      <c r="R41" s="172"/>
      <c r="S41" s="173">
        <f>SUM(S34:S40)</f>
        <v>4700000</v>
      </c>
      <c r="T41" s="173">
        <f>SUM(T34:T40)</f>
        <v>3770627.7536651758</v>
      </c>
      <c r="U41" s="174">
        <f>SUM(U34:U40)</f>
        <v>929372.24633482378</v>
      </c>
    </row>
    <row r="42" spans="1:22" ht="16" x14ac:dyDescent="0.35">
      <c r="A42" s="210" t="s">
        <v>49</v>
      </c>
      <c r="B42" s="287">
        <v>0.57499999999999996</v>
      </c>
      <c r="C42" s="296"/>
      <c r="D42" s="296"/>
      <c r="E42" s="176"/>
      <c r="F42" s="176"/>
      <c r="G42" s="176"/>
      <c r="H42" s="156"/>
      <c r="I42" s="156"/>
      <c r="J42" s="156"/>
      <c r="K42" s="156"/>
      <c r="L42" s="158" t="s">
        <v>49</v>
      </c>
      <c r="M42" s="179">
        <v>0.58399999999999996</v>
      </c>
      <c r="N42" s="213"/>
      <c r="O42" s="177"/>
      <c r="P42" s="178"/>
      <c r="Q42" s="178"/>
      <c r="R42" s="178"/>
    </row>
    <row r="43" spans="1:22" x14ac:dyDescent="0.35">
      <c r="B43" s="186"/>
      <c r="C43" s="158"/>
      <c r="D43" s="181"/>
      <c r="E43" s="176"/>
      <c r="F43" s="176"/>
      <c r="G43" s="176"/>
      <c r="H43" s="156"/>
      <c r="I43" s="156"/>
      <c r="J43" s="156"/>
      <c r="K43" s="156"/>
      <c r="L43" s="179"/>
      <c r="M43" s="183"/>
      <c r="N43" s="183"/>
    </row>
    <row r="44" spans="1:22" x14ac:dyDescent="0.35">
      <c r="A44" s="340" t="s">
        <v>63</v>
      </c>
      <c r="B44" s="341"/>
      <c r="C44" s="341"/>
      <c r="D44" s="341"/>
      <c r="E44" s="341"/>
      <c r="F44" s="341"/>
      <c r="G44" s="341"/>
      <c r="H44" s="341"/>
      <c r="I44" s="341"/>
      <c r="J44" s="342"/>
      <c r="K44" s="156"/>
      <c r="L44" s="321" t="s">
        <v>24</v>
      </c>
      <c r="M44" s="322"/>
      <c r="N44" s="322"/>
      <c r="O44" s="322"/>
      <c r="P44" s="322"/>
      <c r="Q44" s="322"/>
      <c r="R44" s="322"/>
      <c r="S44" s="322"/>
      <c r="T44" s="322"/>
      <c r="U44" s="323"/>
    </row>
    <row r="45" spans="1:22" ht="16" x14ac:dyDescent="0.35">
      <c r="A45" s="145" t="s">
        <v>7</v>
      </c>
      <c r="B45" s="146"/>
      <c r="C45" s="147"/>
      <c r="D45" s="187">
        <v>0.2</v>
      </c>
      <c r="F45" s="148"/>
      <c r="G45" s="148" t="s">
        <v>40</v>
      </c>
      <c r="H45" s="149">
        <v>1.4525476890300439</v>
      </c>
      <c r="I45" s="150"/>
      <c r="J45" s="151"/>
      <c r="K45" s="156"/>
      <c r="L45" s="145"/>
      <c r="M45" s="146"/>
      <c r="N45" s="147"/>
      <c r="O45" s="187">
        <v>1</v>
      </c>
      <c r="P45" s="148"/>
      <c r="Q45" s="148"/>
      <c r="R45" s="148"/>
      <c r="S45" s="149"/>
      <c r="T45" s="150"/>
      <c r="U45" s="151"/>
      <c r="V45" s="182"/>
    </row>
    <row r="46" spans="1:22" ht="26.5" x14ac:dyDescent="0.35">
      <c r="A46" s="152" t="s">
        <v>3</v>
      </c>
      <c r="B46" s="153" t="s">
        <v>10</v>
      </c>
      <c r="C46" s="153" t="s">
        <v>5</v>
      </c>
      <c r="D46" s="320" t="s">
        <v>21</v>
      </c>
      <c r="E46" s="291" t="s">
        <v>11</v>
      </c>
      <c r="F46" s="154" t="s">
        <v>47</v>
      </c>
      <c r="G46" s="291" t="s">
        <v>48</v>
      </c>
      <c r="H46" s="155" t="s">
        <v>22</v>
      </c>
      <c r="I46" s="153" t="s">
        <v>23</v>
      </c>
      <c r="J46" s="155" t="s">
        <v>12</v>
      </c>
      <c r="K46" s="156"/>
      <c r="L46" s="152" t="s">
        <v>3</v>
      </c>
      <c r="M46" s="153"/>
      <c r="N46" s="153" t="s">
        <v>5</v>
      </c>
      <c r="O46" s="320" t="s">
        <v>21</v>
      </c>
      <c r="P46" s="154" t="s">
        <v>11</v>
      </c>
      <c r="Q46" s="154" t="s">
        <v>48</v>
      </c>
      <c r="R46" s="154" t="s">
        <v>47</v>
      </c>
      <c r="S46" s="153" t="s">
        <v>22</v>
      </c>
      <c r="T46" s="153" t="s">
        <v>23</v>
      </c>
      <c r="U46" s="155" t="s">
        <v>12</v>
      </c>
      <c r="V46" s="205"/>
    </row>
    <row r="47" spans="1:22" x14ac:dyDescent="0.35">
      <c r="A47" s="145" t="s">
        <v>17</v>
      </c>
      <c r="B47" s="157">
        <v>0.95499999999999996</v>
      </c>
      <c r="C47" s="158">
        <v>1</v>
      </c>
      <c r="D47" s="159">
        <f t="shared" ref="D47:D53" si="30">$D$45*VLOOKUP(A47,$A$6:$C$13,2,FALSE)</f>
        <v>100000</v>
      </c>
      <c r="E47" s="204">
        <f t="shared" ref="E47:E54" si="31">H47/D47</f>
        <v>2.4036494190519404</v>
      </c>
      <c r="F47" s="188">
        <f>MAX(D47*$F$4*(B47-$B$55)/$B$55,0)</f>
        <v>51533.742331288355</v>
      </c>
      <c r="G47" s="166">
        <f t="shared" ref="G47:G53" si="32">$H$45*D47*VLOOKUP(C47,$E$8:$G$14,2,FALSE)</f>
        <v>188831.1995739057</v>
      </c>
      <c r="H47" s="166">
        <f t="shared" ref="H47:H53" si="33">G47+F47</f>
        <v>240364.94190519405</v>
      </c>
      <c r="I47" s="161">
        <f>IF(H47&gt;D47,D47,H47)</f>
        <v>100000</v>
      </c>
      <c r="J47" s="164">
        <f t="shared" ref="J47:J53" si="34">IF(H47&gt;D47,H47-D47,"0")</f>
        <v>140364.94190519405</v>
      </c>
      <c r="K47" s="156"/>
      <c r="L47" s="145" t="s">
        <v>9</v>
      </c>
      <c r="M47" s="146"/>
      <c r="N47" s="158">
        <f>RANK(P47,$P$47:$P$53)</f>
        <v>6</v>
      </c>
      <c r="O47" s="159">
        <f>SUMIF($A$20:$A$53,L47,$D$20:$D$53)+SUMIF($L$21:$L$43,L47,$O$21:$O$43)</f>
        <v>2000000</v>
      </c>
      <c r="P47" s="189">
        <f>S47/O47</f>
        <v>0.80431808380989156</v>
      </c>
      <c r="Q47" s="188">
        <f>SUMIF($A$20:$A$53,L47,$F$20:$F$53)+SUMIF(L$21:L$40,L47,$Q$21:$Q$40)</f>
        <v>68246.911505168566</v>
      </c>
      <c r="R47" s="188">
        <f t="shared" ref="R47:R53" si="35">SUMIF($A$20:$A$53,L47,$G$20:$G$53)+SUMIF(L$21:L$40,L47,$R$21:$R$40)</f>
        <v>1540389.2561146147</v>
      </c>
      <c r="S47" s="188">
        <f>Q47+R47</f>
        <v>1608636.1676197832</v>
      </c>
      <c r="T47" s="188">
        <f t="shared" ref="T47:T53" si="36">SUMIF($A$20:$A$53,L47,$I$20:$I$53)+SUMIF($L$21:$L$43,L47,$T$21:$T$43)</f>
        <v>1298337.1400522359</v>
      </c>
      <c r="U47" s="190">
        <f t="shared" ref="U47:U53" si="37">SUMIF($A$20:$A$53,L47,$J$20:$J$53)+SUMIF($L$21:$L$43,L47,$U$21:$U$43)</f>
        <v>310299.02756754716</v>
      </c>
    </row>
    <row r="48" spans="1:22" x14ac:dyDescent="0.35">
      <c r="A48" s="145" t="s">
        <v>9</v>
      </c>
      <c r="B48" s="157">
        <v>0.84599999999999997</v>
      </c>
      <c r="C48" s="158">
        <v>2</v>
      </c>
      <c r="D48" s="159">
        <f t="shared" si="30"/>
        <v>400000</v>
      </c>
      <c r="E48" s="204">
        <f t="shared" si="31"/>
        <v>1.7603311436819027</v>
      </c>
      <c r="F48" s="188">
        <f t="shared" ref="F48:F53" si="38">MAX(D48*$F$4*(B48-$B$55)/$B$55,0)</f>
        <v>45644.17177914115</v>
      </c>
      <c r="G48" s="166">
        <f t="shared" si="32"/>
        <v>658488.28569361987</v>
      </c>
      <c r="H48" s="166">
        <f t="shared" si="33"/>
        <v>704132.45747276105</v>
      </c>
      <c r="I48" s="159">
        <f t="shared" ref="I48:I53" si="39">IF(H48&gt;D48,D48,H48)</f>
        <v>400000</v>
      </c>
      <c r="J48" s="166">
        <f t="shared" si="34"/>
        <v>304132.45747276105</v>
      </c>
      <c r="K48" s="156"/>
      <c r="L48" s="145" t="s">
        <v>13</v>
      </c>
      <c r="M48" s="146"/>
      <c r="N48" s="158">
        <f t="shared" ref="N48:N53" si="40">RANK(P48,$P$47:$P$53)</f>
        <v>5</v>
      </c>
      <c r="O48" s="159">
        <f t="shared" ref="O48:O53" si="41">SUMIF($A$20:$A$53,L48,$D$20:$D$53)+SUMIF($L$21:$L$43,L48,$O$21:$O$43)</f>
        <v>5000000</v>
      </c>
      <c r="P48" s="189">
        <f t="shared" ref="P48:P53" si="42">S48/O48</f>
        <v>0.84773975548378122</v>
      </c>
      <c r="Q48" s="188">
        <f t="shared" ref="Q48:Q53" si="43">SUMIF($A$20:$A$53,L48,$F$20:$F$53)+SUMIF(L$21:L$40,L48,$Q$21:$Q$40)</f>
        <v>452054.79452054837</v>
      </c>
      <c r="R48" s="188">
        <f t="shared" si="35"/>
        <v>3786643.9828983573</v>
      </c>
      <c r="S48" s="188">
        <f t="shared" ref="S48:S53" si="44">Q48+R48</f>
        <v>4238698.7774189059</v>
      </c>
      <c r="T48" s="188">
        <f t="shared" si="36"/>
        <v>3335037.7812965987</v>
      </c>
      <c r="U48" s="191">
        <f t="shared" si="37"/>
        <v>903660.99612230668</v>
      </c>
    </row>
    <row r="49" spans="1:21" x14ac:dyDescent="0.35">
      <c r="A49" s="145" t="s">
        <v>14</v>
      </c>
      <c r="B49" s="157">
        <v>0.84399999999999997</v>
      </c>
      <c r="C49" s="158">
        <v>3</v>
      </c>
      <c r="D49" s="159">
        <f t="shared" si="30"/>
        <v>800000</v>
      </c>
      <c r="E49" s="204">
        <f t="shared" si="31"/>
        <v>1.5108778989867113</v>
      </c>
      <c r="F49" s="188">
        <f t="shared" si="38"/>
        <v>85398.773006135045</v>
      </c>
      <c r="G49" s="166">
        <f t="shared" si="32"/>
        <v>1123303.5461832338</v>
      </c>
      <c r="H49" s="166">
        <f t="shared" si="33"/>
        <v>1208702.319189369</v>
      </c>
      <c r="I49" s="159">
        <f t="shared" si="39"/>
        <v>800000</v>
      </c>
      <c r="J49" s="166">
        <f t="shared" si="34"/>
        <v>408702.31918936898</v>
      </c>
      <c r="K49" s="156"/>
      <c r="L49" s="145" t="s">
        <v>17</v>
      </c>
      <c r="M49" s="146"/>
      <c r="N49" s="158">
        <f t="shared" si="40"/>
        <v>2</v>
      </c>
      <c r="O49" s="159">
        <f t="shared" si="41"/>
        <v>500000</v>
      </c>
      <c r="P49" s="189">
        <f t="shared" si="42"/>
        <v>1.1169998370821053</v>
      </c>
      <c r="Q49" s="188">
        <f t="shared" si="43"/>
        <v>52838.090157375344</v>
      </c>
      <c r="R49" s="188">
        <f t="shared" si="35"/>
        <v>505661.82838367729</v>
      </c>
      <c r="S49" s="188">
        <f t="shared" si="44"/>
        <v>558499.91854105261</v>
      </c>
      <c r="T49" s="188">
        <f t="shared" si="36"/>
        <v>418134.97663585859</v>
      </c>
      <c r="U49" s="191">
        <f t="shared" si="37"/>
        <v>140364.94190519405</v>
      </c>
    </row>
    <row r="50" spans="1:21" x14ac:dyDescent="0.35">
      <c r="A50" s="145" t="s">
        <v>13</v>
      </c>
      <c r="B50" s="157">
        <v>0.81499999999999995</v>
      </c>
      <c r="C50" s="158">
        <v>4</v>
      </c>
      <c r="D50" s="159">
        <f t="shared" si="30"/>
        <v>1000000</v>
      </c>
      <c r="E50" s="204">
        <f t="shared" si="31"/>
        <v>1.162038151224035</v>
      </c>
      <c r="F50" s="288">
        <f t="shared" si="38"/>
        <v>0</v>
      </c>
      <c r="G50" s="166">
        <f t="shared" si="32"/>
        <v>1162038.1512240351</v>
      </c>
      <c r="H50" s="166">
        <f t="shared" si="33"/>
        <v>1162038.1512240351</v>
      </c>
      <c r="I50" s="159">
        <f t="shared" si="39"/>
        <v>1000000</v>
      </c>
      <c r="J50" s="165">
        <f t="shared" si="34"/>
        <v>162038.15122403507</v>
      </c>
      <c r="K50" s="156"/>
      <c r="L50" s="145" t="s">
        <v>15</v>
      </c>
      <c r="M50" s="146"/>
      <c r="N50" s="158">
        <f t="shared" si="40"/>
        <v>7</v>
      </c>
      <c r="O50" s="159">
        <f t="shared" si="41"/>
        <v>2000000</v>
      </c>
      <c r="P50" s="189">
        <f t="shared" si="42"/>
        <v>0.73859091110326947</v>
      </c>
      <c r="Q50" s="188">
        <f t="shared" si="43"/>
        <v>68486.352357319993</v>
      </c>
      <c r="R50" s="188">
        <f t="shared" si="35"/>
        <v>1408695.4698492188</v>
      </c>
      <c r="S50" s="188">
        <f t="shared" si="44"/>
        <v>1477181.8222065389</v>
      </c>
      <c r="T50" s="188">
        <f t="shared" si="36"/>
        <v>1468441.7698825006</v>
      </c>
      <c r="U50" s="192">
        <f t="shared" si="37"/>
        <v>8740.0523240382317</v>
      </c>
    </row>
    <row r="51" spans="1:21" x14ac:dyDescent="0.35">
      <c r="A51" s="145" t="s">
        <v>15</v>
      </c>
      <c r="B51" s="157">
        <v>0.76600000000000001</v>
      </c>
      <c r="C51" s="158">
        <v>5</v>
      </c>
      <c r="D51" s="159">
        <f t="shared" si="30"/>
        <v>400000</v>
      </c>
      <c r="E51" s="204">
        <f t="shared" si="31"/>
        <v>0.91994686971902773</v>
      </c>
      <c r="F51" s="288">
        <f t="shared" si="38"/>
        <v>0</v>
      </c>
      <c r="G51" s="166">
        <f t="shared" si="32"/>
        <v>367978.7478876111</v>
      </c>
      <c r="H51" s="166">
        <f t="shared" si="33"/>
        <v>367978.7478876111</v>
      </c>
      <c r="I51" s="159">
        <f t="shared" si="39"/>
        <v>367978.7478876111</v>
      </c>
      <c r="J51" s="165" t="str">
        <f t="shared" si="34"/>
        <v>0</v>
      </c>
      <c r="K51" s="156"/>
      <c r="L51" s="145" t="s">
        <v>14</v>
      </c>
      <c r="M51" s="146"/>
      <c r="N51" s="158">
        <f t="shared" si="40"/>
        <v>1</v>
      </c>
      <c r="O51" s="159">
        <f t="shared" si="41"/>
        <v>4000000</v>
      </c>
      <c r="P51" s="189">
        <f t="shared" si="42"/>
        <v>1.5787366625641162</v>
      </c>
      <c r="Q51" s="188">
        <f t="shared" si="43"/>
        <v>990180.31093224185</v>
      </c>
      <c r="R51" s="188">
        <f t="shared" si="35"/>
        <v>5324766.3393242219</v>
      </c>
      <c r="S51" s="188">
        <f t="shared" si="44"/>
        <v>6314946.6502564643</v>
      </c>
      <c r="T51" s="188">
        <f t="shared" si="36"/>
        <v>4000000</v>
      </c>
      <c r="U51" s="192">
        <f t="shared" si="37"/>
        <v>2314946.6502564633</v>
      </c>
    </row>
    <row r="52" spans="1:21" x14ac:dyDescent="0.35">
      <c r="A52" s="145" t="s">
        <v>18</v>
      </c>
      <c r="B52" s="157">
        <v>0.72099999999999997</v>
      </c>
      <c r="C52" s="158">
        <v>6</v>
      </c>
      <c r="D52" s="159">
        <f t="shared" si="30"/>
        <v>600000</v>
      </c>
      <c r="E52" s="204">
        <f t="shared" si="31"/>
        <v>0.67785558821402059</v>
      </c>
      <c r="F52" s="288">
        <f t="shared" si="38"/>
        <v>0</v>
      </c>
      <c r="G52" s="166">
        <f t="shared" si="32"/>
        <v>406713.35292841232</v>
      </c>
      <c r="H52" s="166">
        <f t="shared" si="33"/>
        <v>406713.35292841232</v>
      </c>
      <c r="I52" s="159">
        <f t="shared" si="39"/>
        <v>406713.35292841232</v>
      </c>
      <c r="J52" s="165" t="str">
        <f t="shared" si="34"/>
        <v>0</v>
      </c>
      <c r="K52" s="156"/>
      <c r="L52" s="145" t="s">
        <v>16</v>
      </c>
      <c r="M52" s="146"/>
      <c r="N52" s="158">
        <f t="shared" si="40"/>
        <v>3</v>
      </c>
      <c r="O52" s="159">
        <f t="shared" si="41"/>
        <v>7000000</v>
      </c>
      <c r="P52" s="189">
        <f t="shared" si="42"/>
        <v>0.96466238638476487</v>
      </c>
      <c r="Q52" s="188">
        <f t="shared" si="43"/>
        <v>529302.00181001925</v>
      </c>
      <c r="R52" s="188">
        <f t="shared" si="35"/>
        <v>6223334.7028833348</v>
      </c>
      <c r="S52" s="188">
        <f t="shared" si="44"/>
        <v>6752636.7046933537</v>
      </c>
      <c r="T52" s="188">
        <f t="shared" si="36"/>
        <v>5921082.5035641957</v>
      </c>
      <c r="U52" s="192">
        <f t="shared" si="37"/>
        <v>831554.20112915896</v>
      </c>
    </row>
    <row r="53" spans="1:21" x14ac:dyDescent="0.35">
      <c r="A53" s="145" t="s">
        <v>16</v>
      </c>
      <c r="B53" s="157">
        <v>0.63600000000000001</v>
      </c>
      <c r="C53" s="158">
        <v>7</v>
      </c>
      <c r="D53" s="159">
        <f t="shared" si="30"/>
        <v>1400000</v>
      </c>
      <c r="E53" s="208">
        <f t="shared" si="31"/>
        <v>0.43576430670901317</v>
      </c>
      <c r="F53" s="288">
        <f t="shared" si="38"/>
        <v>0</v>
      </c>
      <c r="G53" s="292">
        <f t="shared" si="32"/>
        <v>610070.02939261845</v>
      </c>
      <c r="H53" s="292">
        <f t="shared" si="33"/>
        <v>610070.02939261845</v>
      </c>
      <c r="I53" s="167">
        <f t="shared" si="39"/>
        <v>610070.02939261845</v>
      </c>
      <c r="J53" s="168" t="str">
        <f t="shared" si="34"/>
        <v>0</v>
      </c>
      <c r="L53" s="145" t="s">
        <v>18</v>
      </c>
      <c r="M53" s="146"/>
      <c r="N53" s="158">
        <f t="shared" si="40"/>
        <v>4</v>
      </c>
      <c r="O53" s="159">
        <f t="shared" si="41"/>
        <v>3000000</v>
      </c>
      <c r="P53" s="189">
        <f t="shared" si="42"/>
        <v>0.84979998642130083</v>
      </c>
      <c r="Q53" s="188">
        <f t="shared" si="43"/>
        <v>57873.165328164177</v>
      </c>
      <c r="R53" s="188">
        <f t="shared" si="35"/>
        <v>2491526.7939357385</v>
      </c>
      <c r="S53" s="188">
        <f t="shared" si="44"/>
        <v>2549399.9592639026</v>
      </c>
      <c r="T53" s="188">
        <f t="shared" si="36"/>
        <v>2130857.0817920337</v>
      </c>
      <c r="U53" s="193">
        <f t="shared" si="37"/>
        <v>418542.87747186876</v>
      </c>
    </row>
    <row r="54" spans="1:21" x14ac:dyDescent="0.35">
      <c r="A54" s="321" t="s">
        <v>19</v>
      </c>
      <c r="B54" s="169">
        <f>AVERAGE(B47:B53)</f>
        <v>0.7975714285714286</v>
      </c>
      <c r="C54" s="170"/>
      <c r="D54" s="171">
        <f>SUM(D47:D53)</f>
        <v>4700000</v>
      </c>
      <c r="E54" s="172">
        <f t="shared" si="31"/>
        <v>1</v>
      </c>
      <c r="F54" s="172"/>
      <c r="G54" s="172"/>
      <c r="H54" s="173">
        <f>SUM(H47:H53)</f>
        <v>4700000</v>
      </c>
      <c r="I54" s="173">
        <f>SUM(I47:I53)</f>
        <v>3684762.1302086413</v>
      </c>
      <c r="J54" s="174">
        <f>SUM(J47:J53)</f>
        <v>1015237.8697913592</v>
      </c>
      <c r="L54" s="321" t="s">
        <v>19</v>
      </c>
      <c r="M54" s="170"/>
      <c r="N54" s="170"/>
      <c r="O54" s="171">
        <f>SUM(O47:O53)</f>
        <v>23500000</v>
      </c>
      <c r="P54" s="194">
        <f>S54/O54</f>
        <v>1</v>
      </c>
      <c r="Q54" s="194"/>
      <c r="R54" s="194"/>
      <c r="S54" s="171">
        <f>SUM(S47:S53)</f>
        <v>23500000</v>
      </c>
      <c r="T54" s="173">
        <f>SUM(T47:T53)</f>
        <v>18571891.253223423</v>
      </c>
      <c r="U54" s="174">
        <f>SUM(U47:U53)</f>
        <v>4928108.7467765771</v>
      </c>
    </row>
    <row r="55" spans="1:21" ht="16" x14ac:dyDescent="0.35">
      <c r="A55" s="158" t="s">
        <v>49</v>
      </c>
      <c r="B55" s="179">
        <v>0.81499999999999995</v>
      </c>
      <c r="C55" s="212"/>
    </row>
    <row r="56" spans="1:21" x14ac:dyDescent="0.35">
      <c r="B56" s="212"/>
      <c r="C56" s="212"/>
      <c r="G56" s="327"/>
    </row>
    <row r="58" spans="1:21" x14ac:dyDescent="0.35">
      <c r="A58" s="339" t="s">
        <v>41</v>
      </c>
      <c r="B58" s="339"/>
      <c r="C58" s="339"/>
      <c r="D58" s="339"/>
      <c r="E58" s="339"/>
      <c r="F58" s="339"/>
    </row>
    <row r="59" spans="1:21" x14ac:dyDescent="0.35">
      <c r="A59" s="156" t="s">
        <v>42</v>
      </c>
      <c r="B59" s="330"/>
      <c r="C59" s="146"/>
      <c r="D59" s="330"/>
      <c r="E59" s="330"/>
      <c r="F59" s="330"/>
    </row>
    <row r="60" spans="1:21" x14ac:dyDescent="0.35">
      <c r="A60" s="156" t="s">
        <v>52</v>
      </c>
      <c r="B60" s="330"/>
      <c r="C60" s="330"/>
      <c r="D60" s="330"/>
      <c r="E60" s="330"/>
      <c r="F60" s="330"/>
    </row>
    <row r="64" spans="1:21" x14ac:dyDescent="0.35">
      <c r="A64" s="144"/>
      <c r="B64" s="144"/>
      <c r="C64" s="144"/>
      <c r="D64" s="144"/>
      <c r="E64" s="144"/>
      <c r="F64" s="144"/>
      <c r="G64" s="144"/>
    </row>
    <row r="65" spans="1:13" x14ac:dyDescent="0.35">
      <c r="A65" s="144"/>
      <c r="B65" s="144"/>
      <c r="C65" s="144"/>
      <c r="D65" s="144"/>
      <c r="E65" s="144"/>
      <c r="F65" s="144"/>
      <c r="G65" s="144"/>
    </row>
    <row r="66" spans="1:13" x14ac:dyDescent="0.35">
      <c r="A66" s="144"/>
      <c r="B66" s="144"/>
      <c r="C66" s="144"/>
      <c r="D66" s="144"/>
      <c r="E66" s="144"/>
      <c r="F66" s="144"/>
      <c r="G66" s="144"/>
    </row>
    <row r="67" spans="1:13" x14ac:dyDescent="0.35">
      <c r="A67" s="144"/>
      <c r="B67" s="144"/>
      <c r="C67" s="144"/>
      <c r="D67" s="144"/>
      <c r="E67" s="144"/>
      <c r="F67" s="144"/>
      <c r="G67" s="144"/>
    </row>
    <row r="68" spans="1:13" x14ac:dyDescent="0.35">
      <c r="A68" s="144"/>
      <c r="B68" s="144"/>
      <c r="C68" s="144"/>
      <c r="D68" s="144"/>
      <c r="E68" s="144"/>
      <c r="F68" s="144"/>
      <c r="G68" s="144"/>
    </row>
    <row r="69" spans="1:13" x14ac:dyDescent="0.35">
      <c r="A69" s="144"/>
      <c r="B69" s="144"/>
      <c r="C69" s="144"/>
      <c r="D69" s="144"/>
      <c r="E69" s="144"/>
      <c r="F69" s="144"/>
      <c r="G69" s="144"/>
    </row>
    <row r="70" spans="1:13" x14ac:dyDescent="0.35">
      <c r="A70" s="144"/>
      <c r="B70" s="144"/>
      <c r="C70" s="144"/>
      <c r="D70" s="144"/>
      <c r="E70" s="144"/>
      <c r="F70" s="144"/>
      <c r="G70" s="144"/>
    </row>
    <row r="71" spans="1:13" x14ac:dyDescent="0.35">
      <c r="A71" s="144"/>
      <c r="B71" s="144"/>
      <c r="C71" s="144"/>
      <c r="D71" s="144"/>
      <c r="E71" s="144"/>
      <c r="F71" s="144"/>
      <c r="G71" s="144"/>
    </row>
    <row r="72" spans="1:13" x14ac:dyDescent="0.35">
      <c r="A72" s="144"/>
      <c r="B72" s="144"/>
      <c r="C72" s="144"/>
      <c r="D72" s="144"/>
      <c r="E72" s="144"/>
      <c r="F72" s="144"/>
      <c r="G72" s="144"/>
      <c r="K72" s="205"/>
    </row>
    <row r="73" spans="1:13" x14ac:dyDescent="0.35">
      <c r="A73" s="144"/>
      <c r="B73" s="144"/>
      <c r="C73" s="144"/>
      <c r="D73" s="144"/>
      <c r="E73" s="144"/>
      <c r="F73" s="144"/>
      <c r="G73" s="144"/>
    </row>
    <row r="74" spans="1:13" x14ac:dyDescent="0.35">
      <c r="A74" s="144"/>
      <c r="B74" s="144"/>
      <c r="C74" s="144"/>
      <c r="D74" s="144"/>
      <c r="E74" s="144"/>
      <c r="F74" s="144"/>
      <c r="G74" s="144"/>
    </row>
    <row r="75" spans="1:13" x14ac:dyDescent="0.35">
      <c r="A75" s="144"/>
      <c r="B75" s="144"/>
      <c r="C75" s="144"/>
      <c r="D75" s="144"/>
      <c r="E75" s="144"/>
      <c r="F75" s="144"/>
      <c r="G75" s="144"/>
    </row>
    <row r="76" spans="1:13" x14ac:dyDescent="0.35">
      <c r="A76" s="144"/>
      <c r="B76" s="144"/>
      <c r="C76" s="144"/>
      <c r="D76" s="144"/>
      <c r="E76" s="144"/>
      <c r="F76" s="144"/>
      <c r="G76" s="144"/>
      <c r="L76" s="144"/>
      <c r="M76" s="144"/>
    </row>
    <row r="77" spans="1:13" x14ac:dyDescent="0.35">
      <c r="A77" s="144"/>
      <c r="B77" s="144"/>
      <c r="C77" s="144"/>
      <c r="D77" s="144"/>
      <c r="E77" s="144"/>
      <c r="F77" s="144"/>
      <c r="G77" s="144"/>
      <c r="L77" s="144"/>
      <c r="M77" s="144"/>
    </row>
    <row r="78" spans="1:13" x14ac:dyDescent="0.35">
      <c r="A78" s="144"/>
      <c r="B78" s="144"/>
      <c r="C78" s="144"/>
      <c r="D78" s="144"/>
      <c r="E78" s="144"/>
      <c r="F78" s="144"/>
      <c r="G78" s="144"/>
      <c r="L78" s="144"/>
      <c r="M78" s="144"/>
    </row>
    <row r="79" spans="1:13" x14ac:dyDescent="0.35">
      <c r="A79" s="144"/>
      <c r="B79" s="144"/>
      <c r="C79" s="144"/>
      <c r="D79" s="144"/>
      <c r="E79" s="144"/>
      <c r="F79" s="144"/>
      <c r="G79" s="144"/>
      <c r="L79" s="144"/>
      <c r="M79" s="144"/>
    </row>
    <row r="80" spans="1:13" x14ac:dyDescent="0.35">
      <c r="A80" s="144"/>
      <c r="B80" s="144"/>
      <c r="C80" s="144"/>
      <c r="D80" s="144"/>
      <c r="E80" s="144"/>
      <c r="F80" s="144"/>
      <c r="G80" s="144"/>
      <c r="L80" s="144"/>
      <c r="M80" s="144"/>
    </row>
    <row r="81" spans="1:21" x14ac:dyDescent="0.35">
      <c r="A81" s="144"/>
      <c r="B81" s="144"/>
      <c r="C81" s="144"/>
      <c r="D81" s="144"/>
      <c r="E81" s="144"/>
      <c r="F81" s="144"/>
      <c r="G81" s="144"/>
      <c r="L81" s="144"/>
      <c r="M81" s="144"/>
    </row>
    <row r="82" spans="1:21" x14ac:dyDescent="0.35">
      <c r="A82" s="144"/>
      <c r="B82" s="144"/>
      <c r="C82" s="144"/>
      <c r="D82" s="144"/>
      <c r="E82" s="144"/>
      <c r="F82" s="144"/>
      <c r="G82" s="144"/>
      <c r="L82" s="144"/>
      <c r="M82" s="144"/>
    </row>
    <row r="83" spans="1:21" x14ac:dyDescent="0.35">
      <c r="A83" s="144"/>
      <c r="B83" s="144"/>
      <c r="C83" s="144"/>
      <c r="D83" s="144"/>
      <c r="E83" s="144"/>
      <c r="F83" s="144"/>
      <c r="G83" s="144"/>
      <c r="L83" s="144"/>
      <c r="M83" s="144"/>
    </row>
    <row r="84" spans="1:21" x14ac:dyDescent="0.35">
      <c r="A84" s="144"/>
      <c r="B84" s="144"/>
      <c r="C84" s="144"/>
      <c r="D84" s="144"/>
      <c r="E84" s="144"/>
      <c r="F84" s="144"/>
      <c r="G84" s="144"/>
      <c r="L84" s="144"/>
      <c r="M84" s="144"/>
    </row>
    <row r="85" spans="1:21" x14ac:dyDescent="0.35">
      <c r="A85" s="144"/>
      <c r="B85" s="144"/>
      <c r="C85" s="144"/>
      <c r="D85" s="144"/>
      <c r="E85" s="144"/>
      <c r="F85" s="144"/>
      <c r="G85" s="144"/>
      <c r="L85" s="144"/>
      <c r="M85" s="144"/>
      <c r="U85" s="182"/>
    </row>
    <row r="86" spans="1:21" x14ac:dyDescent="0.35">
      <c r="A86" s="144"/>
      <c r="B86" s="144"/>
      <c r="C86" s="144"/>
      <c r="D86" s="144"/>
      <c r="E86" s="144"/>
      <c r="F86" s="144"/>
      <c r="G86" s="144"/>
      <c r="L86" s="144"/>
      <c r="M86" s="144"/>
      <c r="U86" s="205"/>
    </row>
    <row r="87" spans="1:21" x14ac:dyDescent="0.35">
      <c r="A87" s="144"/>
      <c r="B87" s="144"/>
      <c r="C87" s="144"/>
      <c r="D87" s="144"/>
      <c r="E87" s="144"/>
      <c r="F87" s="144"/>
      <c r="G87" s="144"/>
      <c r="L87" s="144"/>
      <c r="M87" s="144"/>
    </row>
    <row r="88" spans="1:21" x14ac:dyDescent="0.35">
      <c r="A88" s="144"/>
      <c r="B88" s="144"/>
      <c r="C88" s="144"/>
      <c r="D88" s="144"/>
      <c r="E88" s="144"/>
      <c r="F88" s="144"/>
      <c r="G88" s="144"/>
      <c r="L88" s="144"/>
      <c r="M88" s="144"/>
    </row>
    <row r="89" spans="1:21" x14ac:dyDescent="0.35">
      <c r="A89" s="144"/>
      <c r="B89" s="144"/>
      <c r="C89" s="144"/>
      <c r="D89" s="144"/>
      <c r="E89" s="144"/>
      <c r="F89" s="144"/>
      <c r="G89" s="144"/>
      <c r="L89" s="144"/>
      <c r="M89" s="144"/>
    </row>
    <row r="90" spans="1:21" x14ac:dyDescent="0.35">
      <c r="A90" s="144"/>
      <c r="B90" s="144"/>
      <c r="C90" s="144"/>
      <c r="D90" s="144"/>
      <c r="E90" s="144"/>
      <c r="F90" s="144"/>
      <c r="G90" s="144"/>
      <c r="L90" s="144"/>
      <c r="M90" s="144"/>
    </row>
    <row r="91" spans="1:21" x14ac:dyDescent="0.35">
      <c r="A91" s="144"/>
      <c r="B91" s="144"/>
      <c r="C91" s="144"/>
      <c r="D91" s="144"/>
      <c r="E91" s="144"/>
      <c r="F91" s="144"/>
      <c r="G91" s="144"/>
      <c r="L91" s="144"/>
      <c r="M91" s="144"/>
    </row>
    <row r="92" spans="1:21" x14ac:dyDescent="0.35">
      <c r="A92" s="144"/>
      <c r="B92" s="144"/>
      <c r="C92" s="144"/>
      <c r="D92" s="144"/>
      <c r="E92" s="144"/>
      <c r="F92" s="144"/>
      <c r="G92" s="144"/>
      <c r="L92" s="144"/>
      <c r="M92" s="144"/>
    </row>
    <row r="93" spans="1:21" x14ac:dyDescent="0.35">
      <c r="A93" s="144"/>
      <c r="B93" s="144"/>
      <c r="C93" s="144"/>
      <c r="D93" s="144"/>
      <c r="E93" s="144"/>
      <c r="F93" s="144"/>
      <c r="G93" s="144"/>
      <c r="L93" s="144"/>
      <c r="M93" s="144"/>
      <c r="T93" s="177"/>
    </row>
  </sheetData>
  <mergeCells count="15">
    <mergeCell ref="A58:F58"/>
    <mergeCell ref="B14:C14"/>
    <mergeCell ref="A18:J18"/>
    <mergeCell ref="L18:U18"/>
    <mergeCell ref="A31:J31"/>
    <mergeCell ref="L31:U31"/>
    <mergeCell ref="A44:J44"/>
    <mergeCell ref="B13:C13"/>
    <mergeCell ref="B6:C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scale="43" orientation="landscape" r:id="rId1"/>
  <headerFooter>
    <oddHeader xml:space="preserve">&amp;L&amp;G&amp;C&amp;"Times New Roman,Bold"&amp;12ACOM Policy 306, Attachment B -
APM Quality Performance Measure Scores - ACC
For the Contract Year Ending 09/30/21
&amp;K000000
</oddHeader>
    <oddFooter>&amp;L&amp;"Times New Roman,Bold"Effective Dates: 10/01/21, 09/30/22
Approval Dates: 09/22/21, 10/06/22&amp;C&amp;"Times New Roman,Bold"&amp;12 306, Attachment B - 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97C93-F904-45EE-A6E8-F1A3371C32A4}">
  <sheetPr>
    <pageSetUpPr fitToPage="1"/>
  </sheetPr>
  <dimension ref="A1:AL93"/>
  <sheetViews>
    <sheetView view="pageLayout" zoomScale="110" zoomScaleNormal="70" zoomScalePageLayoutView="110" workbookViewId="0">
      <selection activeCell="A2" sqref="A2"/>
    </sheetView>
  </sheetViews>
  <sheetFormatPr defaultColWidth="9.7265625" defaultRowHeight="14.5" x14ac:dyDescent="0.35"/>
  <cols>
    <col min="1" max="1" width="21.54296875" style="211" customWidth="1"/>
    <col min="2" max="2" width="8.453125" style="211" customWidth="1"/>
    <col min="3" max="3" width="10" style="211" customWidth="1"/>
    <col min="4" max="4" width="13.54296875" style="211" customWidth="1"/>
    <col min="5" max="5" width="16.453125" style="211" bestFit="1" customWidth="1"/>
    <col min="6" max="6" width="18.81640625" style="211" customWidth="1"/>
    <col min="7" max="7" width="14.7265625" style="211" customWidth="1"/>
    <col min="8" max="8" width="15.1796875" style="211" customWidth="1"/>
    <col min="9" max="9" width="15.26953125" style="211" customWidth="1"/>
    <col min="10" max="10" width="11.453125" style="211" bestFit="1" customWidth="1"/>
    <col min="11" max="11" width="6.54296875" style="211" customWidth="1"/>
    <col min="12" max="12" width="20.1796875" style="211" bestFit="1" customWidth="1"/>
    <col min="13" max="13" width="8.453125" style="211" customWidth="1"/>
    <col min="14" max="14" width="10" style="211" customWidth="1"/>
    <col min="15" max="15" width="13.54296875" style="211" customWidth="1"/>
    <col min="16" max="16" width="10.81640625" style="211" customWidth="1"/>
    <col min="17" max="17" width="12.81640625" style="211" bestFit="1" customWidth="1"/>
    <col min="18" max="18" width="13.26953125" style="211" customWidth="1"/>
    <col min="19" max="19" width="15.81640625" style="211" customWidth="1"/>
    <col min="20" max="20" width="12.453125" style="211" customWidth="1"/>
    <col min="21" max="21" width="11.26953125" style="211" customWidth="1"/>
    <col min="22" max="22" width="9.7265625" style="211"/>
    <col min="23" max="23" width="16.1796875" style="296" customWidth="1"/>
    <col min="24" max="24" width="8.453125" style="296" customWidth="1"/>
    <col min="25" max="25" width="5" style="296" bestFit="1" customWidth="1"/>
    <col min="26" max="26" width="12.26953125" style="296" bestFit="1" customWidth="1"/>
    <col min="27" max="27" width="9.453125" style="296" customWidth="1"/>
    <col min="28" max="28" width="13.1796875" style="296" customWidth="1"/>
    <col min="29" max="30" width="12.7265625" style="296" customWidth="1"/>
    <col min="31" max="31" width="12" style="296" customWidth="1"/>
    <col min="32" max="32" width="11.7265625" style="296" customWidth="1"/>
    <col min="33" max="37" width="9.7265625" style="296"/>
    <col min="38" max="16384" width="9.7265625" style="211"/>
  </cols>
  <sheetData>
    <row r="1" spans="1:38" ht="15.5" x14ac:dyDescent="0.35">
      <c r="B1" s="156"/>
      <c r="D1" s="93"/>
      <c r="E1" s="156"/>
      <c r="F1" s="156"/>
      <c r="G1" s="156"/>
      <c r="H1" s="85"/>
      <c r="I1" s="85"/>
      <c r="J1" s="85"/>
      <c r="K1" s="156"/>
      <c r="N1" s="156"/>
      <c r="O1" s="156"/>
      <c r="P1" s="156"/>
      <c r="Q1" s="156"/>
      <c r="R1" s="156"/>
      <c r="S1" s="156"/>
    </row>
    <row r="2" spans="1:38" ht="17.5" x14ac:dyDescent="0.35">
      <c r="A2" s="196" t="s">
        <v>0</v>
      </c>
      <c r="L2" s="197"/>
      <c r="M2" s="86"/>
      <c r="N2" s="85"/>
      <c r="O2" s="85"/>
    </row>
    <row r="3" spans="1:38" ht="15.5" x14ac:dyDescent="0.35">
      <c r="N3" s="85"/>
      <c r="O3" s="144"/>
    </row>
    <row r="4" spans="1:38" ht="15.5" x14ac:dyDescent="0.35">
      <c r="A4" s="87" t="s">
        <v>1</v>
      </c>
      <c r="B4" s="88"/>
      <c r="C4" s="8">
        <v>0.01</v>
      </c>
      <c r="E4" s="176" t="s">
        <v>26</v>
      </c>
      <c r="F4" s="156">
        <v>3</v>
      </c>
      <c r="G4" s="156"/>
      <c r="H4" s="156"/>
      <c r="I4" s="156"/>
      <c r="J4" s="156"/>
      <c r="K4" s="144"/>
      <c r="L4" s="85"/>
      <c r="V4" s="144"/>
    </row>
    <row r="5" spans="1:38" x14ac:dyDescent="0.35">
      <c r="E5" s="198"/>
      <c r="F5" s="198"/>
      <c r="G5" s="198"/>
      <c r="H5" s="144"/>
      <c r="I5" s="144"/>
      <c r="J5" s="144"/>
    </row>
    <row r="6" spans="1:38" x14ac:dyDescent="0.35">
      <c r="A6" s="152" t="s">
        <v>3</v>
      </c>
      <c r="B6" s="335" t="s">
        <v>4</v>
      </c>
      <c r="C6" s="336"/>
      <c r="G6" s="296"/>
      <c r="H6" s="296"/>
      <c r="I6" s="199"/>
      <c r="J6" s="199"/>
    </row>
    <row r="7" spans="1:38" x14ac:dyDescent="0.35">
      <c r="A7" s="145" t="s">
        <v>9</v>
      </c>
      <c r="B7" s="337">
        <v>2000000</v>
      </c>
      <c r="C7" s="338"/>
      <c r="D7" s="200"/>
      <c r="E7" s="201" t="s">
        <v>5</v>
      </c>
      <c r="F7" s="202" t="s">
        <v>6</v>
      </c>
      <c r="G7" s="296"/>
      <c r="H7" s="296"/>
      <c r="I7" s="160"/>
      <c r="J7" s="160"/>
    </row>
    <row r="8" spans="1:38" x14ac:dyDescent="0.35">
      <c r="A8" s="145" t="s">
        <v>13</v>
      </c>
      <c r="B8" s="337">
        <v>5000000</v>
      </c>
      <c r="C8" s="338"/>
      <c r="D8" s="200"/>
      <c r="E8" s="203">
        <v>1</v>
      </c>
      <c r="F8" s="204">
        <v>1.3</v>
      </c>
      <c r="G8" s="296"/>
      <c r="H8" s="296"/>
      <c r="I8" s="160"/>
      <c r="J8" s="160"/>
      <c r="K8" s="205"/>
    </row>
    <row r="9" spans="1:38" x14ac:dyDescent="0.35">
      <c r="A9" s="145" t="s">
        <v>15</v>
      </c>
      <c r="B9" s="337">
        <v>2000000</v>
      </c>
      <c r="C9" s="338"/>
      <c r="D9" s="200"/>
      <c r="E9" s="203">
        <v>2</v>
      </c>
      <c r="F9" s="204">
        <f>F10+(($F$8-$F$14)/6)</f>
        <v>1.1333333333333333</v>
      </c>
      <c r="G9" s="296"/>
      <c r="H9" s="296"/>
      <c r="I9" s="160"/>
      <c r="J9" s="160"/>
    </row>
    <row r="10" spans="1:38" x14ac:dyDescent="0.35">
      <c r="A10" s="145" t="s">
        <v>17</v>
      </c>
      <c r="B10" s="337">
        <v>500000</v>
      </c>
      <c r="C10" s="338"/>
      <c r="D10" s="200"/>
      <c r="E10" s="203">
        <v>3</v>
      </c>
      <c r="F10" s="204">
        <f>F11+(($F$8-$F$14)/6)</f>
        <v>0.96666666666666656</v>
      </c>
      <c r="G10" s="296"/>
      <c r="H10" s="296"/>
      <c r="I10" s="160"/>
      <c r="J10" s="160"/>
    </row>
    <row r="11" spans="1:38" x14ac:dyDescent="0.35">
      <c r="A11" s="145" t="s">
        <v>16</v>
      </c>
      <c r="B11" s="337">
        <v>7000000</v>
      </c>
      <c r="C11" s="338"/>
      <c r="D11" s="200"/>
      <c r="E11" s="203">
        <v>4</v>
      </c>
      <c r="F11" s="204">
        <f>F12+(($F$8-$F$14)/6)</f>
        <v>0.79999999999999993</v>
      </c>
      <c r="G11" s="296"/>
      <c r="H11" s="296"/>
      <c r="I11" s="160"/>
      <c r="J11" s="160"/>
    </row>
    <row r="12" spans="1:38" x14ac:dyDescent="0.35">
      <c r="A12" s="145" t="s">
        <v>18</v>
      </c>
      <c r="B12" s="337">
        <v>3000000</v>
      </c>
      <c r="C12" s="338"/>
      <c r="D12" s="200"/>
      <c r="E12" s="203">
        <v>5</v>
      </c>
      <c r="F12" s="204">
        <f>F13+(($F$8-$F$14)/6)</f>
        <v>0.6333333333333333</v>
      </c>
      <c r="G12" s="296"/>
      <c r="H12" s="296"/>
      <c r="I12" s="160"/>
      <c r="J12" s="160"/>
    </row>
    <row r="13" spans="1:38" x14ac:dyDescent="0.35">
      <c r="A13" s="206" t="s">
        <v>14</v>
      </c>
      <c r="B13" s="333">
        <v>4000000</v>
      </c>
      <c r="C13" s="334"/>
      <c r="D13" s="200"/>
      <c r="E13" s="203">
        <v>6</v>
      </c>
      <c r="F13" s="204">
        <f>F14+(($F$8-$F$14)/6)</f>
        <v>0.46666666666666667</v>
      </c>
      <c r="G13" s="296"/>
      <c r="H13" s="296"/>
      <c r="I13" s="160"/>
      <c r="J13" s="160"/>
    </row>
    <row r="14" spans="1:38" x14ac:dyDescent="0.35">
      <c r="A14" s="206" t="s">
        <v>19</v>
      </c>
      <c r="B14" s="333">
        <f>SUM(B7:C13)</f>
        <v>23500000</v>
      </c>
      <c r="C14" s="334"/>
      <c r="D14" s="200"/>
      <c r="E14" s="207">
        <v>7</v>
      </c>
      <c r="F14" s="208">
        <v>0.3</v>
      </c>
      <c r="G14" s="296"/>
      <c r="H14" s="296"/>
      <c r="I14" s="160"/>
      <c r="J14" s="160"/>
    </row>
    <row r="15" spans="1:38" x14ac:dyDescent="0.35">
      <c r="A15" s="158"/>
      <c r="B15" s="158"/>
      <c r="C15" s="158"/>
      <c r="D15" s="159"/>
      <c r="E15" s="189"/>
      <c r="F15" s="189"/>
      <c r="G15" s="296"/>
      <c r="H15" s="296"/>
      <c r="I15" s="163"/>
      <c r="J15" s="163"/>
    </row>
    <row r="16" spans="1:38" x14ac:dyDescent="0.35">
      <c r="A16" s="156"/>
      <c r="B16" s="156"/>
      <c r="C16" s="144"/>
      <c r="D16" s="144"/>
      <c r="E16" s="144"/>
      <c r="F16" s="144"/>
      <c r="G16" s="144"/>
      <c r="H16" s="144"/>
      <c r="I16" s="144"/>
      <c r="J16" s="144"/>
      <c r="K16" s="144"/>
      <c r="V16" s="144"/>
      <c r="AL16" s="144"/>
    </row>
    <row r="17" spans="1:38" x14ac:dyDescent="0.35">
      <c r="A17" s="156"/>
      <c r="B17" s="156"/>
      <c r="C17" s="144"/>
      <c r="D17" s="144"/>
      <c r="E17" s="144"/>
      <c r="F17" s="144"/>
      <c r="G17" s="144"/>
      <c r="H17" s="144"/>
      <c r="I17" s="144"/>
      <c r="J17" s="144"/>
      <c r="K17" s="144"/>
      <c r="L17" s="158"/>
      <c r="M17" s="179"/>
      <c r="N17" s="209"/>
      <c r="O17" s="177"/>
      <c r="P17" s="178"/>
      <c r="Q17" s="178"/>
      <c r="R17" s="178"/>
      <c r="S17" s="144"/>
      <c r="T17" s="144"/>
      <c r="U17" s="144"/>
      <c r="V17" s="144"/>
      <c r="AL17" s="144"/>
    </row>
    <row r="18" spans="1:38" x14ac:dyDescent="0.35">
      <c r="A18" s="340" t="s">
        <v>59</v>
      </c>
      <c r="B18" s="341"/>
      <c r="C18" s="341"/>
      <c r="D18" s="341"/>
      <c r="E18" s="341"/>
      <c r="F18" s="341"/>
      <c r="G18" s="341"/>
      <c r="H18" s="341"/>
      <c r="I18" s="341"/>
      <c r="J18" s="342"/>
      <c r="K18" s="144"/>
      <c r="L18" s="340" t="s">
        <v>60</v>
      </c>
      <c r="M18" s="341"/>
      <c r="N18" s="341"/>
      <c r="O18" s="341"/>
      <c r="P18" s="341"/>
      <c r="Q18" s="341"/>
      <c r="R18" s="341"/>
      <c r="S18" s="341"/>
      <c r="T18" s="341"/>
      <c r="U18" s="342"/>
      <c r="V18" s="144"/>
      <c r="AL18" s="144"/>
    </row>
    <row r="19" spans="1:38" ht="16" x14ac:dyDescent="0.35">
      <c r="A19" s="145" t="s">
        <v>7</v>
      </c>
      <c r="B19" s="146"/>
      <c r="C19" s="147"/>
      <c r="D19" s="187">
        <v>0.2</v>
      </c>
      <c r="E19" s="148"/>
      <c r="F19" s="148"/>
      <c r="G19" s="148" t="s">
        <v>40</v>
      </c>
      <c r="H19" s="149">
        <v>1.1769616026711185</v>
      </c>
      <c r="I19" s="150"/>
      <c r="J19" s="151"/>
      <c r="K19" s="89"/>
      <c r="L19" s="145" t="s">
        <v>7</v>
      </c>
      <c r="M19" s="146"/>
      <c r="N19" s="147"/>
      <c r="O19" s="187">
        <v>0.2</v>
      </c>
      <c r="Q19" s="148"/>
      <c r="R19" s="148" t="s">
        <v>40</v>
      </c>
      <c r="S19" s="149">
        <v>1.1969439728353137</v>
      </c>
      <c r="T19" s="150"/>
      <c r="U19" s="151"/>
      <c r="V19" s="89"/>
      <c r="AL19" s="89"/>
    </row>
    <row r="20" spans="1:38" ht="41.15" customHeight="1" x14ac:dyDescent="0.35">
      <c r="A20" s="152" t="s">
        <v>3</v>
      </c>
      <c r="B20" s="153" t="s">
        <v>54</v>
      </c>
      <c r="C20" s="153" t="s">
        <v>5</v>
      </c>
      <c r="D20" s="320" t="s">
        <v>21</v>
      </c>
      <c r="E20" s="154" t="s">
        <v>11</v>
      </c>
      <c r="F20" s="319" t="s">
        <v>56</v>
      </c>
      <c r="G20" s="154" t="s">
        <v>48</v>
      </c>
      <c r="H20" s="153" t="s">
        <v>22</v>
      </c>
      <c r="I20" s="153" t="s">
        <v>23</v>
      </c>
      <c r="J20" s="155" t="s">
        <v>12</v>
      </c>
      <c r="K20" s="156"/>
      <c r="L20" s="152" t="s">
        <v>3</v>
      </c>
      <c r="M20" s="153" t="s">
        <v>54</v>
      </c>
      <c r="N20" s="153" t="s">
        <v>5</v>
      </c>
      <c r="O20" s="320" t="s">
        <v>21</v>
      </c>
      <c r="P20" s="154" t="s">
        <v>11</v>
      </c>
      <c r="Q20" s="319" t="s">
        <v>56</v>
      </c>
      <c r="R20" s="154" t="s">
        <v>48</v>
      </c>
      <c r="S20" s="153" t="s">
        <v>22</v>
      </c>
      <c r="T20" s="153" t="s">
        <v>23</v>
      </c>
      <c r="U20" s="155" t="s">
        <v>12</v>
      </c>
    </row>
    <row r="21" spans="1:38" x14ac:dyDescent="0.35">
      <c r="A21" s="145" t="s">
        <v>9</v>
      </c>
      <c r="B21" s="157">
        <v>0.59399999999999997</v>
      </c>
      <c r="C21" s="158">
        <v>7</v>
      </c>
      <c r="D21" s="159">
        <f>$D$19*VLOOKUP(A21,$A$6:$C$13,2,FALSE)</f>
        <v>400000</v>
      </c>
      <c r="E21" s="160">
        <f t="shared" ref="E21:E27" si="0">H21/D21</f>
        <v>0.35308848080133554</v>
      </c>
      <c r="F21" s="286">
        <v>0</v>
      </c>
      <c r="G21" s="159">
        <f>$H$19*D21*VLOOKUP(C21,$E$8:$G$14,2,FALSE)</f>
        <v>141235.39232053421</v>
      </c>
      <c r="H21" s="159">
        <f>G21+F21</f>
        <v>141235.39232053421</v>
      </c>
      <c r="I21" s="161">
        <f t="shared" ref="I21:I27" si="1">IF(H21&gt;D21,D21,H21)</f>
        <v>141235.39232053421</v>
      </c>
      <c r="J21" s="162" t="str">
        <f t="shared" ref="J21:J27" si="2">IF(H21&gt;D21,H21-D21,"0")</f>
        <v>0</v>
      </c>
      <c r="K21" s="163"/>
      <c r="L21" s="145" t="s">
        <v>14</v>
      </c>
      <c r="M21" s="157">
        <v>0.52</v>
      </c>
      <c r="N21" s="158">
        <v>1</v>
      </c>
      <c r="O21" s="159">
        <f t="shared" ref="O21:O27" si="3">$O$19*VLOOKUP(L21,$A$6:$C$13,2,FALSE)</f>
        <v>800000</v>
      </c>
      <c r="P21" s="160">
        <f t="shared" ref="P21:P28" si="4">S21/O21</f>
        <v>1.5560271646859081</v>
      </c>
      <c r="Q21" s="286">
        <v>0</v>
      </c>
      <c r="R21" s="159">
        <f>$S$19*O21*VLOOKUP(N21,$E$8:$G$14,2,FALSE)</f>
        <v>1244821.7317487265</v>
      </c>
      <c r="S21" s="159">
        <f t="shared" ref="S21:S27" si="5">R21+Q21</f>
        <v>1244821.7317487265</v>
      </c>
      <c r="T21" s="161">
        <f t="shared" ref="T21:T27" si="6">IF(S21&gt;O21,O21,S21)</f>
        <v>800000</v>
      </c>
      <c r="U21" s="164">
        <f t="shared" ref="U21:U27" si="7">IF(S21&gt;O21,S21-O21,"0")</f>
        <v>444821.73174872645</v>
      </c>
    </row>
    <row r="22" spans="1:38" x14ac:dyDescent="0.35">
      <c r="A22" s="145" t="s">
        <v>13</v>
      </c>
      <c r="B22" s="157">
        <v>0.624</v>
      </c>
      <c r="C22" s="158">
        <v>6</v>
      </c>
      <c r="D22" s="159">
        <f t="shared" ref="D22:D27" si="8">$D$19*VLOOKUP(A22,$A$6:$C$13,2,FALSE)</f>
        <v>1000000</v>
      </c>
      <c r="E22" s="160">
        <f t="shared" si="0"/>
        <v>0.54924874791318867</v>
      </c>
      <c r="F22" s="286">
        <v>0</v>
      </c>
      <c r="G22" s="159">
        <f t="shared" ref="G22:G27" si="9">$H$19*D22*VLOOKUP(C22,$E$8:$G$14,2,FALSE)</f>
        <v>549248.74791318865</v>
      </c>
      <c r="H22" s="159">
        <f t="shared" ref="H22:H27" si="10">G22+F22</f>
        <v>549248.74791318865</v>
      </c>
      <c r="I22" s="159">
        <f t="shared" si="1"/>
        <v>549248.74791318865</v>
      </c>
      <c r="J22" s="165" t="str">
        <f t="shared" si="2"/>
        <v>0</v>
      </c>
      <c r="K22" s="163"/>
      <c r="L22" s="145" t="s">
        <v>16</v>
      </c>
      <c r="M22" s="157">
        <v>0.44900000000000001</v>
      </c>
      <c r="N22" s="158">
        <v>2</v>
      </c>
      <c r="O22" s="159">
        <f t="shared" si="3"/>
        <v>1400000</v>
      </c>
      <c r="P22" s="160">
        <f t="shared" si="4"/>
        <v>1.3565365025466889</v>
      </c>
      <c r="Q22" s="286">
        <v>0</v>
      </c>
      <c r="R22" s="159">
        <f t="shared" ref="R22:R27" si="11">$S$19*O22*VLOOKUP(N22,$E$8:$G$14,2,FALSE)</f>
        <v>1899151.1035653644</v>
      </c>
      <c r="S22" s="159">
        <f t="shared" si="5"/>
        <v>1899151.1035653644</v>
      </c>
      <c r="T22" s="159">
        <f t="shared" si="6"/>
        <v>1400000</v>
      </c>
      <c r="U22" s="166">
        <f t="shared" si="7"/>
        <v>499151.10356536438</v>
      </c>
      <c r="V22" s="177"/>
    </row>
    <row r="23" spans="1:38" x14ac:dyDescent="0.35">
      <c r="A23" s="145" t="s">
        <v>15</v>
      </c>
      <c r="B23" s="157">
        <v>0.626</v>
      </c>
      <c r="C23" s="158">
        <v>5</v>
      </c>
      <c r="D23" s="159">
        <f t="shared" si="8"/>
        <v>400000</v>
      </c>
      <c r="E23" s="160">
        <f t="shared" si="0"/>
        <v>0.74540901502504164</v>
      </c>
      <c r="F23" s="286">
        <v>0</v>
      </c>
      <c r="G23" s="159">
        <f t="shared" si="9"/>
        <v>298163.60601001664</v>
      </c>
      <c r="H23" s="159">
        <f t="shared" si="10"/>
        <v>298163.60601001664</v>
      </c>
      <c r="I23" s="159">
        <f t="shared" si="1"/>
        <v>298163.60601001664</v>
      </c>
      <c r="J23" s="165" t="str">
        <f t="shared" si="2"/>
        <v>0</v>
      </c>
      <c r="K23" s="163"/>
      <c r="L23" s="145" t="s">
        <v>15</v>
      </c>
      <c r="M23" s="157">
        <v>0.42599999999999999</v>
      </c>
      <c r="N23" s="158">
        <v>3</v>
      </c>
      <c r="O23" s="159">
        <f t="shared" si="3"/>
        <v>400000</v>
      </c>
      <c r="P23" s="160">
        <f t="shared" si="4"/>
        <v>1.1570458404074697</v>
      </c>
      <c r="Q23" s="286">
        <v>0</v>
      </c>
      <c r="R23" s="159">
        <f t="shared" si="11"/>
        <v>462818.33616298792</v>
      </c>
      <c r="S23" s="159">
        <f t="shared" si="5"/>
        <v>462818.33616298792</v>
      </c>
      <c r="T23" s="159">
        <f t="shared" si="6"/>
        <v>400000</v>
      </c>
      <c r="U23" s="166">
        <f t="shared" si="7"/>
        <v>62818.336162987922</v>
      </c>
      <c r="V23" s="177"/>
    </row>
    <row r="24" spans="1:38" x14ac:dyDescent="0.35">
      <c r="A24" s="145" t="s">
        <v>17</v>
      </c>
      <c r="B24" s="157">
        <v>0.628</v>
      </c>
      <c r="C24" s="158">
        <v>4</v>
      </c>
      <c r="D24" s="159">
        <f t="shared" si="8"/>
        <v>100000</v>
      </c>
      <c r="E24" s="160">
        <f t="shared" si="0"/>
        <v>0.94156928213689461</v>
      </c>
      <c r="F24" s="286">
        <v>0</v>
      </c>
      <c r="G24" s="159">
        <f t="shared" si="9"/>
        <v>94156.928213689462</v>
      </c>
      <c r="H24" s="159">
        <f t="shared" si="10"/>
        <v>94156.928213689462</v>
      </c>
      <c r="I24" s="159">
        <f t="shared" si="1"/>
        <v>94156.928213689462</v>
      </c>
      <c r="J24" s="165" t="str">
        <f t="shared" si="2"/>
        <v>0</v>
      </c>
      <c r="K24" s="163"/>
      <c r="L24" s="145" t="s">
        <v>17</v>
      </c>
      <c r="M24" s="157">
        <v>0.38500000000000001</v>
      </c>
      <c r="N24" s="158">
        <v>4</v>
      </c>
      <c r="O24" s="159">
        <f t="shared" si="3"/>
        <v>100000</v>
      </c>
      <c r="P24" s="160">
        <f t="shared" si="4"/>
        <v>0.95755517826825087</v>
      </c>
      <c r="Q24" s="286">
        <v>0</v>
      </c>
      <c r="R24" s="159">
        <f t="shared" si="11"/>
        <v>95755.517826825089</v>
      </c>
      <c r="S24" s="159">
        <f t="shared" si="5"/>
        <v>95755.517826825089</v>
      </c>
      <c r="T24" s="159">
        <f t="shared" si="6"/>
        <v>95755.517826825089</v>
      </c>
      <c r="U24" s="165" t="str">
        <f t="shared" si="7"/>
        <v>0</v>
      </c>
      <c r="V24" s="177"/>
    </row>
    <row r="25" spans="1:38" x14ac:dyDescent="0.35">
      <c r="A25" s="145" t="s">
        <v>16</v>
      </c>
      <c r="B25" s="157">
        <v>0.63</v>
      </c>
      <c r="C25" s="158">
        <v>3</v>
      </c>
      <c r="D25" s="159">
        <f t="shared" si="8"/>
        <v>1400000</v>
      </c>
      <c r="E25" s="160">
        <f t="shared" si="0"/>
        <v>1.1377295492487478</v>
      </c>
      <c r="F25" s="286">
        <v>0</v>
      </c>
      <c r="G25" s="159">
        <f t="shared" si="9"/>
        <v>1592821.3689482468</v>
      </c>
      <c r="H25" s="159">
        <f t="shared" si="10"/>
        <v>1592821.3689482468</v>
      </c>
      <c r="I25" s="159">
        <f t="shared" si="1"/>
        <v>1400000</v>
      </c>
      <c r="J25" s="165">
        <f t="shared" si="2"/>
        <v>192821.36894824682</v>
      </c>
      <c r="K25" s="163"/>
      <c r="L25" s="145" t="s">
        <v>9</v>
      </c>
      <c r="M25" s="157">
        <v>0.375</v>
      </c>
      <c r="N25" s="158">
        <v>5</v>
      </c>
      <c r="O25" s="159">
        <f t="shared" si="3"/>
        <v>400000</v>
      </c>
      <c r="P25" s="160">
        <f t="shared" si="4"/>
        <v>0.75806451612903203</v>
      </c>
      <c r="Q25" s="286">
        <v>0</v>
      </c>
      <c r="R25" s="159">
        <f t="shared" si="11"/>
        <v>303225.80645161279</v>
      </c>
      <c r="S25" s="159">
        <f t="shared" si="5"/>
        <v>303225.80645161279</v>
      </c>
      <c r="T25" s="159">
        <f t="shared" si="6"/>
        <v>303225.80645161279</v>
      </c>
      <c r="U25" s="165" t="str">
        <f t="shared" si="7"/>
        <v>0</v>
      </c>
      <c r="V25" s="177"/>
    </row>
    <row r="26" spans="1:38" x14ac:dyDescent="0.35">
      <c r="A26" s="145" t="s">
        <v>18</v>
      </c>
      <c r="B26" s="157">
        <v>0.64</v>
      </c>
      <c r="C26" s="158">
        <v>2</v>
      </c>
      <c r="D26" s="159">
        <f t="shared" si="8"/>
        <v>600000</v>
      </c>
      <c r="E26" s="160">
        <f t="shared" si="0"/>
        <v>1.333889816360601</v>
      </c>
      <c r="F26" s="286">
        <v>0</v>
      </c>
      <c r="G26" s="159">
        <f t="shared" si="9"/>
        <v>800333.88981636055</v>
      </c>
      <c r="H26" s="159">
        <f t="shared" si="10"/>
        <v>800333.88981636055</v>
      </c>
      <c r="I26" s="159">
        <f t="shared" si="1"/>
        <v>600000</v>
      </c>
      <c r="J26" s="165">
        <f t="shared" si="2"/>
        <v>200333.88981636055</v>
      </c>
      <c r="K26" s="163"/>
      <c r="L26" s="145" t="s">
        <v>18</v>
      </c>
      <c r="M26" s="157">
        <v>0.36099999999999999</v>
      </c>
      <c r="N26" s="158">
        <v>6</v>
      </c>
      <c r="O26" s="159">
        <f t="shared" si="3"/>
        <v>600000</v>
      </c>
      <c r="P26" s="160">
        <f t="shared" si="4"/>
        <v>0.55857385398981307</v>
      </c>
      <c r="Q26" s="286">
        <v>0</v>
      </c>
      <c r="R26" s="159">
        <f t="shared" si="11"/>
        <v>335144.31239388784</v>
      </c>
      <c r="S26" s="159">
        <f t="shared" si="5"/>
        <v>335144.31239388784</v>
      </c>
      <c r="T26" s="159">
        <f t="shared" si="6"/>
        <v>335144.31239388784</v>
      </c>
      <c r="U26" s="165" t="str">
        <f t="shared" si="7"/>
        <v>0</v>
      </c>
      <c r="V26" s="177"/>
    </row>
    <row r="27" spans="1:38" x14ac:dyDescent="0.35">
      <c r="A27" s="145" t="s">
        <v>14</v>
      </c>
      <c r="B27" s="157">
        <v>0.65</v>
      </c>
      <c r="C27" s="158">
        <v>1</v>
      </c>
      <c r="D27" s="159">
        <f t="shared" si="8"/>
        <v>800000</v>
      </c>
      <c r="E27" s="160">
        <f t="shared" si="0"/>
        <v>1.530050083472454</v>
      </c>
      <c r="F27" s="286">
        <v>0</v>
      </c>
      <c r="G27" s="159">
        <f t="shared" si="9"/>
        <v>1224040.0667779632</v>
      </c>
      <c r="H27" s="159">
        <f t="shared" si="10"/>
        <v>1224040.0667779632</v>
      </c>
      <c r="I27" s="159">
        <f t="shared" si="1"/>
        <v>800000</v>
      </c>
      <c r="J27" s="165">
        <f t="shared" si="2"/>
        <v>424040.06677796319</v>
      </c>
      <c r="K27" s="163"/>
      <c r="L27" s="145" t="s">
        <v>13</v>
      </c>
      <c r="M27" s="157">
        <v>0.31900000000000001</v>
      </c>
      <c r="N27" s="158">
        <v>7</v>
      </c>
      <c r="O27" s="159">
        <f t="shared" si="3"/>
        <v>1000000</v>
      </c>
      <c r="P27" s="160">
        <f t="shared" si="4"/>
        <v>0.35908319185059412</v>
      </c>
      <c r="Q27" s="286">
        <v>0</v>
      </c>
      <c r="R27" s="159">
        <f t="shared" si="11"/>
        <v>359083.19185059413</v>
      </c>
      <c r="S27" s="159">
        <f t="shared" si="5"/>
        <v>359083.19185059413</v>
      </c>
      <c r="T27" s="167">
        <f t="shared" si="6"/>
        <v>359083.19185059413</v>
      </c>
      <c r="U27" s="168" t="str">
        <f t="shared" si="7"/>
        <v>0</v>
      </c>
      <c r="V27" s="177"/>
    </row>
    <row r="28" spans="1:38" x14ac:dyDescent="0.35">
      <c r="A28" s="321" t="s">
        <v>19</v>
      </c>
      <c r="B28" s="169">
        <f>AVERAGE(B21:B27)</f>
        <v>0.62742857142857145</v>
      </c>
      <c r="C28" s="170"/>
      <c r="D28" s="171">
        <f>SUM(D21:D27)</f>
        <v>4700000</v>
      </c>
      <c r="E28" s="172">
        <f>H28/D28</f>
        <v>1</v>
      </c>
      <c r="F28" s="171"/>
      <c r="G28" s="172"/>
      <c r="H28" s="173">
        <f>SUM(H21:H27)</f>
        <v>4700000</v>
      </c>
      <c r="I28" s="173">
        <f>SUM(I21:I27)</f>
        <v>3882804.674457429</v>
      </c>
      <c r="J28" s="174">
        <f>SUM(J21:J27)</f>
        <v>817195.32554257056</v>
      </c>
      <c r="K28" s="156"/>
      <c r="L28" s="321" t="s">
        <v>19</v>
      </c>
      <c r="M28" s="169">
        <f>AVERAGE(M21:M27)</f>
        <v>0.40499999999999997</v>
      </c>
      <c r="N28" s="170"/>
      <c r="O28" s="171">
        <f>SUM(O21:O27)</f>
        <v>4700000</v>
      </c>
      <c r="P28" s="172">
        <f t="shared" si="4"/>
        <v>0.99999999999999956</v>
      </c>
      <c r="Q28" s="172"/>
      <c r="R28" s="172"/>
      <c r="S28" s="173">
        <f>SUM(S21:S27)</f>
        <v>4699999.9999999981</v>
      </c>
      <c r="T28" s="173">
        <f>SUM(T21:T27)</f>
        <v>3693208.8285229197</v>
      </c>
      <c r="U28" s="174">
        <f>SUM(U21:U27)</f>
        <v>1006791.1714770787</v>
      </c>
      <c r="V28" s="177"/>
    </row>
    <row r="29" spans="1:38" ht="16" x14ac:dyDescent="0.35">
      <c r="A29" s="158" t="s">
        <v>45</v>
      </c>
      <c r="B29" s="179">
        <v>0</v>
      </c>
      <c r="C29" s="213"/>
      <c r="D29" s="175"/>
      <c r="E29" s="176"/>
      <c r="F29" s="176"/>
      <c r="G29" s="176"/>
      <c r="H29" s="156"/>
      <c r="I29" s="156"/>
      <c r="J29" s="156"/>
      <c r="K29" s="156"/>
      <c r="L29" s="158" t="s">
        <v>45</v>
      </c>
      <c r="M29" s="179">
        <v>0</v>
      </c>
      <c r="N29" s="213"/>
      <c r="O29" s="177"/>
      <c r="P29" s="178"/>
      <c r="Q29" s="178"/>
      <c r="R29" s="178"/>
      <c r="S29" s="144"/>
      <c r="T29" s="144"/>
      <c r="U29" s="144"/>
      <c r="V29" s="182"/>
    </row>
    <row r="30" spans="1:38" x14ac:dyDescent="0.35">
      <c r="B30" s="179"/>
      <c r="C30" s="180"/>
      <c r="D30" s="181"/>
      <c r="E30" s="176"/>
      <c r="F30" s="176"/>
      <c r="G30" s="176"/>
      <c r="H30" s="156"/>
      <c r="I30" s="156"/>
      <c r="J30" s="156"/>
      <c r="K30" s="156"/>
      <c r="L30" s="182"/>
      <c r="M30" s="183"/>
      <c r="N30" s="183"/>
    </row>
    <row r="31" spans="1:38" x14ac:dyDescent="0.35">
      <c r="A31" s="340" t="s">
        <v>61</v>
      </c>
      <c r="B31" s="341"/>
      <c r="C31" s="341"/>
      <c r="D31" s="341"/>
      <c r="E31" s="341"/>
      <c r="F31" s="341"/>
      <c r="G31" s="341"/>
      <c r="H31" s="341"/>
      <c r="I31" s="341"/>
      <c r="J31" s="342"/>
      <c r="K31" s="156"/>
      <c r="L31" s="340" t="s">
        <v>62</v>
      </c>
      <c r="M31" s="341"/>
      <c r="N31" s="341"/>
      <c r="O31" s="341"/>
      <c r="P31" s="341"/>
      <c r="Q31" s="341"/>
      <c r="R31" s="341"/>
      <c r="S31" s="341"/>
      <c r="T31" s="341"/>
      <c r="U31" s="342"/>
    </row>
    <row r="32" spans="1:38" ht="16" x14ac:dyDescent="0.35">
      <c r="A32" s="145" t="s">
        <v>7</v>
      </c>
      <c r="B32" s="146"/>
      <c r="C32" s="147"/>
      <c r="D32" s="187">
        <v>0.2</v>
      </c>
      <c r="E32" s="148"/>
      <c r="F32" s="148"/>
      <c r="G32" s="148" t="s">
        <v>40</v>
      </c>
      <c r="H32" s="149">
        <v>1.1769616026711187</v>
      </c>
      <c r="I32" s="150"/>
      <c r="J32" s="151"/>
      <c r="K32" s="156"/>
      <c r="L32" s="145" t="s">
        <v>7</v>
      </c>
      <c r="M32" s="146"/>
      <c r="N32" s="147"/>
      <c r="O32" s="187">
        <v>0.2</v>
      </c>
      <c r="P32" s="148"/>
      <c r="Q32" s="148"/>
      <c r="R32" s="148" t="s">
        <v>40</v>
      </c>
      <c r="S32" s="149">
        <v>1.125299281723863</v>
      </c>
      <c r="T32" s="150"/>
      <c r="U32" s="151"/>
    </row>
    <row r="33" spans="1:22" ht="29" x14ac:dyDescent="0.35">
      <c r="A33" s="152" t="s">
        <v>3</v>
      </c>
      <c r="B33" s="153" t="s">
        <v>54</v>
      </c>
      <c r="C33" s="153" t="s">
        <v>5</v>
      </c>
      <c r="D33" s="320" t="s">
        <v>21</v>
      </c>
      <c r="E33" s="154" t="s">
        <v>11</v>
      </c>
      <c r="F33" s="319" t="s">
        <v>56</v>
      </c>
      <c r="G33" s="154" t="s">
        <v>48</v>
      </c>
      <c r="H33" s="153" t="s">
        <v>22</v>
      </c>
      <c r="I33" s="153" t="s">
        <v>23</v>
      </c>
      <c r="J33" s="155" t="s">
        <v>12</v>
      </c>
      <c r="K33" s="156"/>
      <c r="L33" s="152" t="s">
        <v>3</v>
      </c>
      <c r="M33" s="153" t="s">
        <v>54</v>
      </c>
      <c r="N33" s="153" t="s">
        <v>5</v>
      </c>
      <c r="O33" s="320" t="s">
        <v>21</v>
      </c>
      <c r="P33" s="154" t="s">
        <v>11</v>
      </c>
      <c r="Q33" s="319" t="s">
        <v>56</v>
      </c>
      <c r="R33" s="154" t="s">
        <v>48</v>
      </c>
      <c r="S33" s="153" t="s">
        <v>22</v>
      </c>
      <c r="T33" s="153" t="s">
        <v>23</v>
      </c>
      <c r="U33" s="155" t="s">
        <v>12</v>
      </c>
    </row>
    <row r="34" spans="1:22" x14ac:dyDescent="0.35">
      <c r="A34" s="145" t="s">
        <v>9</v>
      </c>
      <c r="B34" s="184">
        <v>0.56999999999999995</v>
      </c>
      <c r="C34" s="158">
        <v>7</v>
      </c>
      <c r="D34" s="159">
        <f>$D$32*VLOOKUP(A34,$A$6:$C$13,2,FALSE)</f>
        <v>400000</v>
      </c>
      <c r="E34" s="160">
        <f t="shared" ref="E34:E41" si="12">H34/D34</f>
        <v>0.35308848080133559</v>
      </c>
      <c r="F34" s="286">
        <v>0</v>
      </c>
      <c r="G34" s="159">
        <f t="shared" ref="G34:G40" si="13">$H$32*D34*VLOOKUP(C34,$E$8:$G$14,2,FALSE)</f>
        <v>141235.39232053424</v>
      </c>
      <c r="H34" s="159">
        <f t="shared" ref="H34:H40" si="14">G34+F34</f>
        <v>141235.39232053424</v>
      </c>
      <c r="I34" s="161">
        <f t="shared" ref="I34:I40" si="15">IF(H34&gt;D34,D34,H34)</f>
        <v>141235.39232053424</v>
      </c>
      <c r="J34" s="162" t="str">
        <f t="shared" ref="J34:J40" si="16">IF(H34&gt;D34,H34-D34,"0")</f>
        <v>0</v>
      </c>
      <c r="K34" s="156"/>
      <c r="L34" s="145" t="s">
        <v>13</v>
      </c>
      <c r="M34" s="157">
        <v>0.67200000000000004</v>
      </c>
      <c r="N34" s="158">
        <v>1</v>
      </c>
      <c r="O34" s="159">
        <f t="shared" ref="O34:O40" si="17">$O$32*VLOOKUP(L34,$A$6:$C$14,2,FALSE)</f>
        <v>1000000</v>
      </c>
      <c r="P34" s="160">
        <f t="shared" ref="P34:P41" si="18">S34/O34</f>
        <v>1.4628890662410219</v>
      </c>
      <c r="Q34" s="286">
        <v>0</v>
      </c>
      <c r="R34" s="159">
        <f t="shared" ref="R34:R40" si="19">$S$32*O34*VLOOKUP(N34,$E$8:$G$14,2,FALSE)</f>
        <v>1462889.066241022</v>
      </c>
      <c r="S34" s="159">
        <f t="shared" ref="S34:S40" si="20">R34+Q34</f>
        <v>1462889.066241022</v>
      </c>
      <c r="T34" s="161">
        <f t="shared" ref="T34:T40" si="21">IF(S34&gt;O34,O34,S34)</f>
        <v>1000000</v>
      </c>
      <c r="U34" s="164">
        <f t="shared" ref="U34:U40" si="22">IF(S34&gt;O34,S34-O34,"0")</f>
        <v>462889.06624102197</v>
      </c>
    </row>
    <row r="35" spans="1:22" x14ac:dyDescent="0.35">
      <c r="A35" s="145" t="s">
        <v>13</v>
      </c>
      <c r="B35" s="184">
        <v>0.57250000000000001</v>
      </c>
      <c r="C35" s="158">
        <v>6</v>
      </c>
      <c r="D35" s="159">
        <f t="shared" ref="D35:D40" si="23">$D$32*VLOOKUP(A35,$A$6:$C$13,2,FALSE)</f>
        <v>1000000</v>
      </c>
      <c r="E35" s="160">
        <f t="shared" si="12"/>
        <v>0.54924874791318878</v>
      </c>
      <c r="F35" s="286">
        <v>0</v>
      </c>
      <c r="G35" s="159">
        <f t="shared" si="13"/>
        <v>549248.74791318877</v>
      </c>
      <c r="H35" s="159">
        <f t="shared" si="14"/>
        <v>549248.74791318877</v>
      </c>
      <c r="I35" s="159">
        <f t="shared" si="15"/>
        <v>549248.74791318877</v>
      </c>
      <c r="J35" s="165" t="str">
        <f t="shared" si="16"/>
        <v>0</v>
      </c>
      <c r="K35" s="156"/>
      <c r="L35" s="145" t="s">
        <v>14</v>
      </c>
      <c r="M35" s="157">
        <v>0.60399999999999998</v>
      </c>
      <c r="N35" s="158">
        <v>2</v>
      </c>
      <c r="O35" s="159">
        <f t="shared" si="17"/>
        <v>800000</v>
      </c>
      <c r="P35" s="160">
        <f t="shared" si="18"/>
        <v>1.2753391859537113</v>
      </c>
      <c r="Q35" s="286">
        <v>0</v>
      </c>
      <c r="R35" s="159">
        <f t="shared" si="19"/>
        <v>1020271.348762969</v>
      </c>
      <c r="S35" s="159">
        <f t="shared" si="20"/>
        <v>1020271.348762969</v>
      </c>
      <c r="T35" s="159">
        <f t="shared" si="21"/>
        <v>800000</v>
      </c>
      <c r="U35" s="166">
        <f t="shared" si="22"/>
        <v>220271.34876296902</v>
      </c>
    </row>
    <row r="36" spans="1:22" x14ac:dyDescent="0.35">
      <c r="A36" s="145" t="s">
        <v>15</v>
      </c>
      <c r="B36" s="184">
        <v>0.57499999999999996</v>
      </c>
      <c r="C36" s="158">
        <v>5</v>
      </c>
      <c r="D36" s="159">
        <f t="shared" si="23"/>
        <v>400000</v>
      </c>
      <c r="E36" s="160">
        <f t="shared" si="12"/>
        <v>0.74540901502504187</v>
      </c>
      <c r="F36" s="286">
        <v>0</v>
      </c>
      <c r="G36" s="159">
        <f t="shared" si="13"/>
        <v>298163.60601001675</v>
      </c>
      <c r="H36" s="159">
        <f t="shared" si="14"/>
        <v>298163.60601001675</v>
      </c>
      <c r="I36" s="159">
        <f t="shared" si="15"/>
        <v>298163.60601001675</v>
      </c>
      <c r="J36" s="165" t="str">
        <f t="shared" si="16"/>
        <v>0</v>
      </c>
      <c r="K36" s="156"/>
      <c r="L36" s="145" t="s">
        <v>9</v>
      </c>
      <c r="M36" s="157">
        <v>0.59499999999999997</v>
      </c>
      <c r="N36" s="158">
        <v>3</v>
      </c>
      <c r="O36" s="159">
        <f t="shared" si="17"/>
        <v>400000</v>
      </c>
      <c r="P36" s="160">
        <f t="shared" si="18"/>
        <v>1.0877893056664008</v>
      </c>
      <c r="Q36" s="286">
        <v>0</v>
      </c>
      <c r="R36" s="159">
        <f t="shared" si="19"/>
        <v>435115.7222665603</v>
      </c>
      <c r="S36" s="159">
        <f t="shared" si="20"/>
        <v>435115.7222665603</v>
      </c>
      <c r="T36" s="159">
        <f t="shared" si="21"/>
        <v>400000</v>
      </c>
      <c r="U36" s="165">
        <f t="shared" si="22"/>
        <v>35115.722266560304</v>
      </c>
    </row>
    <row r="37" spans="1:22" x14ac:dyDescent="0.35">
      <c r="A37" s="145" t="s">
        <v>17</v>
      </c>
      <c r="B37" s="184">
        <v>0.57750000000000001</v>
      </c>
      <c r="C37" s="158">
        <v>4</v>
      </c>
      <c r="D37" s="159">
        <f t="shared" si="23"/>
        <v>100000</v>
      </c>
      <c r="E37" s="160">
        <f t="shared" si="12"/>
        <v>0.94156928213689495</v>
      </c>
      <c r="F37" s="286">
        <v>0</v>
      </c>
      <c r="G37" s="159">
        <f t="shared" si="13"/>
        <v>94156.928213689491</v>
      </c>
      <c r="H37" s="159">
        <f t="shared" si="14"/>
        <v>94156.928213689491</v>
      </c>
      <c r="I37" s="159">
        <f t="shared" si="15"/>
        <v>94156.928213689491</v>
      </c>
      <c r="J37" s="165" t="str">
        <f t="shared" si="16"/>
        <v>0</v>
      </c>
      <c r="K37" s="156"/>
      <c r="L37" s="145" t="s">
        <v>16</v>
      </c>
      <c r="M37" s="157">
        <v>0.55900000000000005</v>
      </c>
      <c r="N37" s="158">
        <v>4</v>
      </c>
      <c r="O37" s="159">
        <f t="shared" si="17"/>
        <v>1400000</v>
      </c>
      <c r="P37" s="160">
        <f t="shared" si="18"/>
        <v>0.90023942537909041</v>
      </c>
      <c r="Q37" s="286">
        <v>0</v>
      </c>
      <c r="R37" s="159">
        <f t="shared" si="19"/>
        <v>1260335.1955307266</v>
      </c>
      <c r="S37" s="159">
        <f t="shared" si="20"/>
        <v>1260335.1955307266</v>
      </c>
      <c r="T37" s="159">
        <f t="shared" si="21"/>
        <v>1260335.1955307266</v>
      </c>
      <c r="U37" s="165" t="str">
        <f t="shared" si="22"/>
        <v>0</v>
      </c>
    </row>
    <row r="38" spans="1:22" x14ac:dyDescent="0.35">
      <c r="A38" s="145" t="s">
        <v>16</v>
      </c>
      <c r="B38" s="184">
        <v>0.57999999999999996</v>
      </c>
      <c r="C38" s="158">
        <v>3</v>
      </c>
      <c r="D38" s="159">
        <f t="shared" si="23"/>
        <v>1400000</v>
      </c>
      <c r="E38" s="160">
        <f t="shared" si="12"/>
        <v>1.137729549248748</v>
      </c>
      <c r="F38" s="286">
        <v>0</v>
      </c>
      <c r="G38" s="159">
        <f t="shared" si="13"/>
        <v>1592821.3689482473</v>
      </c>
      <c r="H38" s="159">
        <f t="shared" si="14"/>
        <v>1592821.3689482473</v>
      </c>
      <c r="I38" s="159">
        <f t="shared" si="15"/>
        <v>1400000</v>
      </c>
      <c r="J38" s="165">
        <f t="shared" si="16"/>
        <v>192821.36894824728</v>
      </c>
      <c r="K38" s="156"/>
      <c r="L38" s="145" t="s">
        <v>17</v>
      </c>
      <c r="M38" s="157">
        <v>0.54700000000000004</v>
      </c>
      <c r="N38" s="158">
        <v>5</v>
      </c>
      <c r="O38" s="159">
        <f t="shared" si="17"/>
        <v>100000</v>
      </c>
      <c r="P38" s="160">
        <f t="shared" si="18"/>
        <v>0.71268954509177984</v>
      </c>
      <c r="Q38" s="286">
        <v>0</v>
      </c>
      <c r="R38" s="159">
        <f t="shared" si="19"/>
        <v>71268.954509177987</v>
      </c>
      <c r="S38" s="159">
        <f t="shared" si="20"/>
        <v>71268.954509177987</v>
      </c>
      <c r="T38" s="159">
        <f t="shared" si="21"/>
        <v>71268.954509177987</v>
      </c>
      <c r="U38" s="165" t="str">
        <f t="shared" si="22"/>
        <v>0</v>
      </c>
    </row>
    <row r="39" spans="1:22" x14ac:dyDescent="0.35">
      <c r="A39" s="145" t="s">
        <v>18</v>
      </c>
      <c r="B39" s="184">
        <v>0.58250000000000002</v>
      </c>
      <c r="C39" s="158">
        <v>2</v>
      </c>
      <c r="D39" s="159">
        <f t="shared" si="23"/>
        <v>600000</v>
      </c>
      <c r="E39" s="160">
        <f t="shared" si="12"/>
        <v>1.333889816360601</v>
      </c>
      <c r="F39" s="286">
        <v>0</v>
      </c>
      <c r="G39" s="159">
        <f t="shared" si="13"/>
        <v>800333.88981636066</v>
      </c>
      <c r="H39" s="159">
        <f t="shared" si="14"/>
        <v>800333.88981636066</v>
      </c>
      <c r="I39" s="159">
        <f t="shared" si="15"/>
        <v>600000</v>
      </c>
      <c r="J39" s="165">
        <f t="shared" si="16"/>
        <v>200333.88981636066</v>
      </c>
      <c r="K39" s="156"/>
      <c r="L39" s="145" t="s">
        <v>18</v>
      </c>
      <c r="M39" s="157">
        <v>0.54500000000000004</v>
      </c>
      <c r="N39" s="158">
        <v>6</v>
      </c>
      <c r="O39" s="159">
        <f t="shared" si="17"/>
        <v>600000</v>
      </c>
      <c r="P39" s="160">
        <f t="shared" si="18"/>
        <v>0.52513966480446939</v>
      </c>
      <c r="Q39" s="286">
        <v>0</v>
      </c>
      <c r="R39" s="159">
        <f t="shared" si="19"/>
        <v>315083.79888268164</v>
      </c>
      <c r="S39" s="159">
        <f t="shared" si="20"/>
        <v>315083.79888268164</v>
      </c>
      <c r="T39" s="159">
        <f t="shared" si="21"/>
        <v>315083.79888268164</v>
      </c>
      <c r="U39" s="165" t="str">
        <f t="shared" si="22"/>
        <v>0</v>
      </c>
    </row>
    <row r="40" spans="1:22" x14ac:dyDescent="0.35">
      <c r="A40" s="145" t="s">
        <v>14</v>
      </c>
      <c r="B40" s="184">
        <v>0.58499999999999996</v>
      </c>
      <c r="C40" s="158">
        <v>1</v>
      </c>
      <c r="D40" s="159">
        <f t="shared" si="23"/>
        <v>800000</v>
      </c>
      <c r="E40" s="160">
        <f t="shared" si="12"/>
        <v>1.5300500834724542</v>
      </c>
      <c r="F40" s="286">
        <v>0</v>
      </c>
      <c r="G40" s="159">
        <f t="shared" si="13"/>
        <v>1224040.0667779634</v>
      </c>
      <c r="H40" s="159">
        <f t="shared" si="14"/>
        <v>1224040.0667779634</v>
      </c>
      <c r="I40" s="159">
        <f t="shared" si="15"/>
        <v>800000</v>
      </c>
      <c r="J40" s="165">
        <f t="shared" si="16"/>
        <v>424040.06677796342</v>
      </c>
      <c r="K40" s="156"/>
      <c r="L40" s="145" t="s">
        <v>15</v>
      </c>
      <c r="M40" s="157">
        <v>0.53700000000000003</v>
      </c>
      <c r="N40" s="158">
        <v>7</v>
      </c>
      <c r="O40" s="159">
        <f t="shared" si="17"/>
        <v>400000</v>
      </c>
      <c r="P40" s="160">
        <f t="shared" si="18"/>
        <v>0.33758978451715882</v>
      </c>
      <c r="Q40" s="286">
        <v>0</v>
      </c>
      <c r="R40" s="159">
        <f t="shared" si="19"/>
        <v>135035.91380686354</v>
      </c>
      <c r="S40" s="159">
        <f t="shared" si="20"/>
        <v>135035.91380686354</v>
      </c>
      <c r="T40" s="159">
        <f t="shared" si="21"/>
        <v>135035.91380686354</v>
      </c>
      <c r="U40" s="165" t="str">
        <f t="shared" si="22"/>
        <v>0</v>
      </c>
    </row>
    <row r="41" spans="1:22" x14ac:dyDescent="0.35">
      <c r="A41" s="321" t="s">
        <v>19</v>
      </c>
      <c r="B41" s="185">
        <f>AVERAGE(B34:B40)</f>
        <v>0.57750000000000001</v>
      </c>
      <c r="C41" s="170"/>
      <c r="D41" s="171">
        <f>SUM(D34:D40)</f>
        <v>4700000</v>
      </c>
      <c r="E41" s="172">
        <f t="shared" si="12"/>
        <v>1</v>
      </c>
      <c r="F41" s="172"/>
      <c r="G41" s="172"/>
      <c r="H41" s="173">
        <f>SUM(H34:H40)</f>
        <v>4700000</v>
      </c>
      <c r="I41" s="173">
        <f>SUM(I34:I40)</f>
        <v>3882804.674457429</v>
      </c>
      <c r="J41" s="174">
        <f>SUM(J34:J40)</f>
        <v>817195.32554257137</v>
      </c>
      <c r="K41" s="156"/>
      <c r="L41" s="321" t="s">
        <v>19</v>
      </c>
      <c r="M41" s="169">
        <f>AVERAGE(M34:M40)</f>
        <v>0.57985714285714285</v>
      </c>
      <c r="N41" s="170"/>
      <c r="O41" s="171">
        <f>SUM(O34:O40)</f>
        <v>4700000</v>
      </c>
      <c r="P41" s="172">
        <f t="shared" si="18"/>
        <v>1.0000000000000002</v>
      </c>
      <c r="Q41" s="172"/>
      <c r="R41" s="172"/>
      <c r="S41" s="173">
        <f>SUM(S34:S40)</f>
        <v>4700000.0000000009</v>
      </c>
      <c r="T41" s="173">
        <f>SUM(T34:T40)</f>
        <v>3981723.8627294502</v>
      </c>
      <c r="U41" s="174">
        <f>SUM(U34:U40)</f>
        <v>718276.13727055129</v>
      </c>
    </row>
    <row r="42" spans="1:22" ht="16" x14ac:dyDescent="0.35">
      <c r="A42" s="158" t="s">
        <v>45</v>
      </c>
      <c r="B42" s="287">
        <v>0</v>
      </c>
      <c r="C42" s="296"/>
      <c r="D42" s="296"/>
      <c r="E42" s="176"/>
      <c r="F42" s="176"/>
      <c r="G42" s="176"/>
      <c r="H42" s="156"/>
      <c r="I42" s="156"/>
      <c r="J42" s="156"/>
      <c r="K42" s="156"/>
      <c r="L42" s="158" t="s">
        <v>45</v>
      </c>
      <c r="M42" s="179">
        <v>0</v>
      </c>
      <c r="N42" s="213"/>
      <c r="O42" s="177"/>
      <c r="P42" s="178"/>
      <c r="Q42" s="178"/>
      <c r="R42" s="178"/>
    </row>
    <row r="43" spans="1:22" x14ac:dyDescent="0.35">
      <c r="B43" s="186"/>
      <c r="C43" s="158"/>
      <c r="D43" s="181"/>
      <c r="E43" s="176"/>
      <c r="F43" s="176"/>
      <c r="G43" s="176"/>
      <c r="H43" s="156"/>
      <c r="I43" s="156"/>
      <c r="J43" s="156"/>
      <c r="K43" s="156"/>
      <c r="L43" s="179"/>
      <c r="M43" s="183"/>
      <c r="N43" s="183"/>
    </row>
    <row r="44" spans="1:22" x14ac:dyDescent="0.35">
      <c r="A44" s="340" t="s">
        <v>63</v>
      </c>
      <c r="B44" s="341"/>
      <c r="C44" s="341"/>
      <c r="D44" s="341"/>
      <c r="E44" s="341"/>
      <c r="F44" s="341"/>
      <c r="G44" s="341"/>
      <c r="H44" s="341"/>
      <c r="I44" s="341"/>
      <c r="J44" s="342"/>
      <c r="K44" s="156"/>
      <c r="L44" s="321" t="s">
        <v>24</v>
      </c>
      <c r="M44" s="322"/>
      <c r="N44" s="322"/>
      <c r="O44" s="322"/>
      <c r="P44" s="322"/>
      <c r="Q44" s="322"/>
      <c r="R44" s="322"/>
      <c r="S44" s="322"/>
      <c r="T44" s="322"/>
      <c r="U44" s="323"/>
    </row>
    <row r="45" spans="1:22" ht="16" x14ac:dyDescent="0.35">
      <c r="A45" s="145" t="s">
        <v>7</v>
      </c>
      <c r="B45" s="146"/>
      <c r="C45" s="147"/>
      <c r="D45" s="187">
        <v>0.2</v>
      </c>
      <c r="F45" s="148"/>
      <c r="G45" s="148" t="s">
        <v>40</v>
      </c>
      <c r="H45" s="149">
        <v>1.5112540192926047</v>
      </c>
      <c r="I45" s="150"/>
      <c r="J45" s="151"/>
      <c r="K45" s="156"/>
      <c r="L45" s="145"/>
      <c r="M45" s="146"/>
      <c r="N45" s="147"/>
      <c r="O45" s="187">
        <v>1</v>
      </c>
      <c r="P45" s="148"/>
      <c r="Q45" s="148"/>
      <c r="R45" s="148"/>
      <c r="S45" s="149"/>
      <c r="T45" s="150"/>
      <c r="U45" s="151"/>
      <c r="V45" s="182"/>
    </row>
    <row r="46" spans="1:22" ht="29" x14ac:dyDescent="0.35">
      <c r="A46" s="152" t="s">
        <v>3</v>
      </c>
      <c r="B46" s="153" t="s">
        <v>54</v>
      </c>
      <c r="C46" s="153" t="s">
        <v>5</v>
      </c>
      <c r="D46" s="320" t="s">
        <v>21</v>
      </c>
      <c r="E46" s="154" t="s">
        <v>11</v>
      </c>
      <c r="F46" s="319" t="s">
        <v>56</v>
      </c>
      <c r="G46" s="154" t="s">
        <v>48</v>
      </c>
      <c r="H46" s="153" t="s">
        <v>22</v>
      </c>
      <c r="I46" s="153" t="s">
        <v>23</v>
      </c>
      <c r="J46" s="155" t="s">
        <v>12</v>
      </c>
      <c r="K46" s="156"/>
      <c r="L46" s="152" t="s">
        <v>3</v>
      </c>
      <c r="M46" s="153"/>
      <c r="N46" s="153" t="s">
        <v>5</v>
      </c>
      <c r="O46" s="320" t="s">
        <v>21</v>
      </c>
      <c r="P46" s="154" t="s">
        <v>11</v>
      </c>
      <c r="Q46" s="319" t="s">
        <v>56</v>
      </c>
      <c r="R46" s="154" t="s">
        <v>48</v>
      </c>
      <c r="S46" s="153" t="s">
        <v>22</v>
      </c>
      <c r="T46" s="153" t="s">
        <v>23</v>
      </c>
      <c r="U46" s="155" t="s">
        <v>12</v>
      </c>
      <c r="V46" s="205"/>
    </row>
    <row r="47" spans="1:22" x14ac:dyDescent="0.35">
      <c r="A47" s="145" t="s">
        <v>17</v>
      </c>
      <c r="B47" s="157">
        <v>0.95499999999999996</v>
      </c>
      <c r="C47" s="158">
        <v>1</v>
      </c>
      <c r="D47" s="159">
        <f>$D$45*VLOOKUP(A47,$A$6:$C$13,2,FALSE)</f>
        <v>100000</v>
      </c>
      <c r="E47" s="160">
        <f t="shared" ref="E47:E54" si="24">H47/D47</f>
        <v>1.9646302250803862</v>
      </c>
      <c r="F47" s="288">
        <v>0</v>
      </c>
      <c r="G47" s="159">
        <f>$H$45*D47*VLOOKUP(C47,$E$8:$G$14,2,FALSE)</f>
        <v>196463.02250803862</v>
      </c>
      <c r="H47" s="159">
        <f t="shared" ref="H47:H53" si="25">G47+F47</f>
        <v>196463.02250803862</v>
      </c>
      <c r="I47" s="161">
        <f t="shared" ref="I47:I53" si="26">IF(H47&gt;D47,D47,H47)</f>
        <v>100000</v>
      </c>
      <c r="J47" s="164">
        <f t="shared" ref="J47:J53" si="27">IF(H47&gt;D47,H47-D47,"0")</f>
        <v>96463.022508038615</v>
      </c>
      <c r="K47" s="156"/>
      <c r="L47" s="145" t="s">
        <v>9</v>
      </c>
      <c r="M47" s="146"/>
      <c r="N47" s="158">
        <f>RANK(P47,$P$47:$P$53)</f>
        <v>5</v>
      </c>
      <c r="O47" s="159">
        <f t="shared" ref="O47:O53" si="28">SUMIF($A$20:$A$53,L47,$D$20:$D$53)+SUMIF($L$21:$L$43,L47,$O$21:$O$43)</f>
        <v>2000000</v>
      </c>
      <c r="P47" s="189">
        <f>S47/O47</f>
        <v>0.85295706771927771</v>
      </c>
      <c r="Q47" s="188">
        <f>SUMIF($A$20:$A$53,L47,$F$20:$F$53)+SUMIF(L$21:L$40,L47,$Q$21:$Q$40)</f>
        <v>0</v>
      </c>
      <c r="R47" s="188">
        <f t="shared" ref="R47:R53" si="29">SUMIF($A$20:$A$53,L47,$G$20:$G$53)+SUMIF(L$21:L$40,L47,$R$21:$R$40)</f>
        <v>1705914.1354385554</v>
      </c>
      <c r="S47" s="188">
        <f>Q47+R47</f>
        <v>1705914.1354385554</v>
      </c>
      <c r="T47" s="188">
        <f t="shared" ref="T47:T53" si="30">SUMIF($A$20:$A$53,L47,$I$20:$I$53)+SUMIF($L$21:$L$43,L47,$T$21:$T$43)</f>
        <v>1385696.5910926813</v>
      </c>
      <c r="U47" s="190">
        <f t="shared" ref="U47:U53" si="31">SUMIF($A$20:$A$53,L47,$J$20:$J$53)+SUMIF($L$21:$L$43,L47,$U$21:$U$43)</f>
        <v>320217.54434587434</v>
      </c>
    </row>
    <row r="48" spans="1:22" x14ac:dyDescent="0.35">
      <c r="A48" s="145" t="s">
        <v>9</v>
      </c>
      <c r="B48" s="157">
        <v>0.84599999999999997</v>
      </c>
      <c r="C48" s="158">
        <v>2</v>
      </c>
      <c r="D48" s="159">
        <f t="shared" ref="D48:D53" si="32">$D$45*VLOOKUP(A48,$A$6:$C$13,2,FALSE)</f>
        <v>400000</v>
      </c>
      <c r="E48" s="160">
        <f t="shared" si="24"/>
        <v>1.712754555198285</v>
      </c>
      <c r="F48" s="288">
        <v>0</v>
      </c>
      <c r="G48" s="159">
        <f t="shared" ref="G48:G53" si="33">$H$45*D48*VLOOKUP(C48,$E$8:$G$14,2,FALSE)</f>
        <v>685101.82207931404</v>
      </c>
      <c r="H48" s="159">
        <f t="shared" si="25"/>
        <v>685101.82207931404</v>
      </c>
      <c r="I48" s="159">
        <f t="shared" si="26"/>
        <v>400000</v>
      </c>
      <c r="J48" s="166">
        <f t="shared" si="27"/>
        <v>285101.82207931404</v>
      </c>
      <c r="K48" s="156"/>
      <c r="L48" s="145" t="s">
        <v>13</v>
      </c>
      <c r="M48" s="146"/>
      <c r="N48" s="158">
        <f t="shared" ref="N48:N53" si="34">RANK(P48,$P$47:$P$53)</f>
        <v>6</v>
      </c>
      <c r="O48" s="159">
        <f t="shared" si="28"/>
        <v>5000000</v>
      </c>
      <c r="P48" s="189">
        <f t="shared" ref="P48:P53" si="35">S48/O48</f>
        <v>0.82589459387041542</v>
      </c>
      <c r="Q48" s="188">
        <f t="shared" ref="Q48:Q53" si="36">SUMIF($A$20:$A$53,L48,$F$20:$F$53)+SUMIF(L$21:L$40,L48,$Q$21:$Q$40)</f>
        <v>0</v>
      </c>
      <c r="R48" s="188">
        <f t="shared" si="29"/>
        <v>4129472.9693520772</v>
      </c>
      <c r="S48" s="188">
        <f t="shared" ref="S48:S53" si="37">Q48+R48</f>
        <v>4129472.9693520772</v>
      </c>
      <c r="T48" s="188">
        <f t="shared" si="30"/>
        <v>3457580.6876769718</v>
      </c>
      <c r="U48" s="191">
        <f t="shared" si="31"/>
        <v>671892.28167510568</v>
      </c>
    </row>
    <row r="49" spans="1:21" x14ac:dyDescent="0.35">
      <c r="A49" s="145" t="s">
        <v>14</v>
      </c>
      <c r="B49" s="157">
        <v>0.84399999999999997</v>
      </c>
      <c r="C49" s="158">
        <v>3</v>
      </c>
      <c r="D49" s="159">
        <f t="shared" si="32"/>
        <v>800000</v>
      </c>
      <c r="E49" s="160">
        <f t="shared" si="24"/>
        <v>1.4608788853161843</v>
      </c>
      <c r="F49" s="288">
        <v>0</v>
      </c>
      <c r="G49" s="159">
        <f t="shared" si="33"/>
        <v>1168703.1082529475</v>
      </c>
      <c r="H49" s="159">
        <f t="shared" si="25"/>
        <v>1168703.1082529475</v>
      </c>
      <c r="I49" s="159">
        <f t="shared" si="26"/>
        <v>800000</v>
      </c>
      <c r="J49" s="166">
        <f t="shared" si="27"/>
        <v>368703.10825294745</v>
      </c>
      <c r="K49" s="156"/>
      <c r="L49" s="145" t="s">
        <v>17</v>
      </c>
      <c r="M49" s="146"/>
      <c r="N49" s="158">
        <f t="shared" si="34"/>
        <v>2</v>
      </c>
      <c r="O49" s="159">
        <f t="shared" si="28"/>
        <v>500000</v>
      </c>
      <c r="P49" s="189">
        <f t="shared" si="35"/>
        <v>1.1036027025428414</v>
      </c>
      <c r="Q49" s="188">
        <f t="shared" si="36"/>
        <v>0</v>
      </c>
      <c r="R49" s="188">
        <f t="shared" si="29"/>
        <v>551801.35127142072</v>
      </c>
      <c r="S49" s="188">
        <f t="shared" si="37"/>
        <v>551801.35127142072</v>
      </c>
      <c r="T49" s="188">
        <f t="shared" si="30"/>
        <v>455338.32876338204</v>
      </c>
      <c r="U49" s="191">
        <f t="shared" si="31"/>
        <v>96463.022508038615</v>
      </c>
    </row>
    <row r="50" spans="1:21" x14ac:dyDescent="0.35">
      <c r="A50" s="145" t="s">
        <v>13</v>
      </c>
      <c r="B50" s="157">
        <v>0.81499999999999995</v>
      </c>
      <c r="C50" s="158">
        <v>4</v>
      </c>
      <c r="D50" s="159">
        <f t="shared" si="32"/>
        <v>1000000</v>
      </c>
      <c r="E50" s="160">
        <f t="shared" si="24"/>
        <v>1.2090032154340837</v>
      </c>
      <c r="F50" s="288">
        <v>0</v>
      </c>
      <c r="G50" s="159">
        <f t="shared" si="33"/>
        <v>1209003.2154340837</v>
      </c>
      <c r="H50" s="159">
        <f t="shared" si="25"/>
        <v>1209003.2154340837</v>
      </c>
      <c r="I50" s="159">
        <f t="shared" si="26"/>
        <v>1000000</v>
      </c>
      <c r="J50" s="165">
        <f t="shared" si="27"/>
        <v>209003.21543408372</v>
      </c>
      <c r="K50" s="156"/>
      <c r="L50" s="145" t="s">
        <v>15</v>
      </c>
      <c r="M50" s="146"/>
      <c r="N50" s="158">
        <f t="shared" si="34"/>
        <v>7</v>
      </c>
      <c r="O50" s="159">
        <f t="shared" si="28"/>
        <v>2000000</v>
      </c>
      <c r="P50" s="189">
        <f t="shared" si="35"/>
        <v>0.78851624010533894</v>
      </c>
      <c r="Q50" s="188">
        <f t="shared" si="36"/>
        <v>0</v>
      </c>
      <c r="R50" s="188">
        <f t="shared" si="29"/>
        <v>1577032.480210678</v>
      </c>
      <c r="S50" s="188">
        <f t="shared" si="37"/>
        <v>1577032.480210678</v>
      </c>
      <c r="T50" s="188">
        <f t="shared" si="30"/>
        <v>1514214.1440476901</v>
      </c>
      <c r="U50" s="192">
        <f t="shared" si="31"/>
        <v>62818.336162987922</v>
      </c>
    </row>
    <row r="51" spans="1:21" x14ac:dyDescent="0.35">
      <c r="A51" s="145" t="s">
        <v>15</v>
      </c>
      <c r="B51" s="157">
        <v>0.76600000000000001</v>
      </c>
      <c r="C51" s="158">
        <v>5</v>
      </c>
      <c r="D51" s="159">
        <f t="shared" si="32"/>
        <v>400000</v>
      </c>
      <c r="E51" s="160">
        <f t="shared" si="24"/>
        <v>0.95712754555198287</v>
      </c>
      <c r="F51" s="288">
        <v>0</v>
      </c>
      <c r="G51" s="159">
        <f t="shared" si="33"/>
        <v>382851.01822079316</v>
      </c>
      <c r="H51" s="159">
        <f t="shared" si="25"/>
        <v>382851.01822079316</v>
      </c>
      <c r="I51" s="159">
        <f t="shared" si="26"/>
        <v>382851.01822079316</v>
      </c>
      <c r="J51" s="165" t="str">
        <f t="shared" si="27"/>
        <v>0</v>
      </c>
      <c r="K51" s="156"/>
      <c r="L51" s="145" t="s">
        <v>14</v>
      </c>
      <c r="M51" s="146"/>
      <c r="N51" s="158">
        <f t="shared" si="34"/>
        <v>1</v>
      </c>
      <c r="O51" s="159">
        <f t="shared" si="28"/>
        <v>4000000</v>
      </c>
      <c r="P51" s="189">
        <f t="shared" si="35"/>
        <v>1.4704690805801424</v>
      </c>
      <c r="Q51" s="188">
        <f t="shared" si="36"/>
        <v>0</v>
      </c>
      <c r="R51" s="188">
        <f t="shared" si="29"/>
        <v>5881876.3223205693</v>
      </c>
      <c r="S51" s="188">
        <f t="shared" si="37"/>
        <v>5881876.3223205693</v>
      </c>
      <c r="T51" s="188">
        <f t="shared" si="30"/>
        <v>4000000</v>
      </c>
      <c r="U51" s="192">
        <f t="shared" si="31"/>
        <v>1881876.3223205695</v>
      </c>
    </row>
    <row r="52" spans="1:21" x14ac:dyDescent="0.35">
      <c r="A52" s="145" t="s">
        <v>18</v>
      </c>
      <c r="B52" s="157">
        <v>0.72099999999999997</v>
      </c>
      <c r="C52" s="158">
        <v>6</v>
      </c>
      <c r="D52" s="159">
        <f t="shared" si="32"/>
        <v>600000</v>
      </c>
      <c r="E52" s="160">
        <f t="shared" si="24"/>
        <v>0.70525187566988223</v>
      </c>
      <c r="F52" s="288">
        <v>0</v>
      </c>
      <c r="G52" s="159">
        <f t="shared" si="33"/>
        <v>423151.12540192931</v>
      </c>
      <c r="H52" s="159">
        <f t="shared" si="25"/>
        <v>423151.12540192931</v>
      </c>
      <c r="I52" s="159">
        <f t="shared" si="26"/>
        <v>423151.12540192931</v>
      </c>
      <c r="J52" s="165" t="str">
        <f t="shared" si="27"/>
        <v>0</v>
      </c>
      <c r="K52" s="156"/>
      <c r="L52" s="145" t="s">
        <v>16</v>
      </c>
      <c r="M52" s="146"/>
      <c r="N52" s="158">
        <f t="shared" si="34"/>
        <v>3</v>
      </c>
      <c r="O52" s="159">
        <f t="shared" si="28"/>
        <v>7000000</v>
      </c>
      <c r="P52" s="189">
        <f t="shared" si="35"/>
        <v>0.99712224644221126</v>
      </c>
      <c r="Q52" s="188">
        <f t="shared" si="36"/>
        <v>0</v>
      </c>
      <c r="R52" s="188">
        <f t="shared" si="29"/>
        <v>6979855.7250954788</v>
      </c>
      <c r="S52" s="188">
        <f t="shared" si="37"/>
        <v>6979855.7250954788</v>
      </c>
      <c r="T52" s="188">
        <f t="shared" si="30"/>
        <v>6095061.883633621</v>
      </c>
      <c r="U52" s="192">
        <f t="shared" si="31"/>
        <v>884793.84146185848</v>
      </c>
    </row>
    <row r="53" spans="1:21" x14ac:dyDescent="0.35">
      <c r="A53" s="145" t="s">
        <v>16</v>
      </c>
      <c r="B53" s="157">
        <v>0.63600000000000001</v>
      </c>
      <c r="C53" s="158">
        <v>7</v>
      </c>
      <c r="D53" s="159">
        <f t="shared" si="32"/>
        <v>1400000</v>
      </c>
      <c r="E53" s="160">
        <f t="shared" si="24"/>
        <v>0.45337620578778132</v>
      </c>
      <c r="F53" s="288">
        <v>0</v>
      </c>
      <c r="G53" s="159">
        <f t="shared" si="33"/>
        <v>634726.68810289388</v>
      </c>
      <c r="H53" s="159">
        <f t="shared" si="25"/>
        <v>634726.68810289388</v>
      </c>
      <c r="I53" s="167">
        <f t="shared" si="26"/>
        <v>634726.68810289388</v>
      </c>
      <c r="J53" s="168" t="str">
        <f t="shared" si="27"/>
        <v>0</v>
      </c>
      <c r="L53" s="145" t="s">
        <v>18</v>
      </c>
      <c r="M53" s="146"/>
      <c r="N53" s="158">
        <f t="shared" si="34"/>
        <v>4</v>
      </c>
      <c r="O53" s="159">
        <f t="shared" si="28"/>
        <v>3000000</v>
      </c>
      <c r="P53" s="189">
        <f t="shared" si="35"/>
        <v>0.89134900543707329</v>
      </c>
      <c r="Q53" s="188">
        <f t="shared" si="36"/>
        <v>0</v>
      </c>
      <c r="R53" s="188">
        <f t="shared" si="29"/>
        <v>2674047.0163112199</v>
      </c>
      <c r="S53" s="188">
        <f t="shared" si="37"/>
        <v>2674047.0163112199</v>
      </c>
      <c r="T53" s="188">
        <f t="shared" si="30"/>
        <v>2273379.2366784988</v>
      </c>
      <c r="U53" s="193">
        <f t="shared" si="31"/>
        <v>400667.77963272121</v>
      </c>
    </row>
    <row r="54" spans="1:21" x14ac:dyDescent="0.35">
      <c r="A54" s="321" t="s">
        <v>19</v>
      </c>
      <c r="B54" s="169">
        <f>AVERAGE(B47:B53)</f>
        <v>0.7975714285714286</v>
      </c>
      <c r="C54" s="170"/>
      <c r="D54" s="171">
        <f>SUM(D47:D53)</f>
        <v>4700000</v>
      </c>
      <c r="E54" s="172">
        <f t="shared" si="24"/>
        <v>1</v>
      </c>
      <c r="F54" s="172"/>
      <c r="G54" s="172"/>
      <c r="H54" s="173">
        <f>SUM(H47:H53)</f>
        <v>4700000</v>
      </c>
      <c r="I54" s="173">
        <f>SUM(I47:I53)</f>
        <v>3740728.8317256165</v>
      </c>
      <c r="J54" s="174">
        <f>SUM(J47:J53)</f>
        <v>959271.16827438376</v>
      </c>
      <c r="L54" s="321" t="s">
        <v>19</v>
      </c>
      <c r="M54" s="170"/>
      <c r="N54" s="170"/>
      <c r="O54" s="171">
        <f>SUM(O47:O53)</f>
        <v>23500000</v>
      </c>
      <c r="P54" s="194">
        <f>S54/O54</f>
        <v>1</v>
      </c>
      <c r="Q54" s="194"/>
      <c r="R54" s="194"/>
      <c r="S54" s="171">
        <f>SUM(S47:S53)</f>
        <v>23500000</v>
      </c>
      <c r="T54" s="173">
        <f>SUM(T47:T53)</f>
        <v>19181270.871892847</v>
      </c>
      <c r="U54" s="174">
        <f>SUM(U47:U53)</f>
        <v>4318729.1281071557</v>
      </c>
    </row>
    <row r="55" spans="1:21" ht="16" x14ac:dyDescent="0.35">
      <c r="A55" s="158" t="s">
        <v>45</v>
      </c>
      <c r="B55" s="179">
        <v>0</v>
      </c>
      <c r="C55" s="212"/>
    </row>
    <row r="56" spans="1:21" x14ac:dyDescent="0.35">
      <c r="B56" s="212"/>
      <c r="C56" s="212"/>
      <c r="G56" s="327"/>
    </row>
    <row r="58" spans="1:21" x14ac:dyDescent="0.35">
      <c r="A58" s="343" t="s">
        <v>41</v>
      </c>
      <c r="B58" s="343"/>
      <c r="C58" s="343"/>
      <c r="D58" s="343"/>
      <c r="E58" s="343"/>
      <c r="F58" s="343"/>
    </row>
    <row r="59" spans="1:21" x14ac:dyDescent="0.35">
      <c r="A59" s="324" t="s">
        <v>42</v>
      </c>
      <c r="C59" s="195"/>
    </row>
    <row r="60" spans="1:21" x14ac:dyDescent="0.35">
      <c r="A60" s="324" t="s">
        <v>46</v>
      </c>
    </row>
    <row r="61" spans="1:21" x14ac:dyDescent="0.35">
      <c r="A61" s="324" t="s">
        <v>55</v>
      </c>
    </row>
    <row r="64" spans="1:21" x14ac:dyDescent="0.35">
      <c r="A64" s="144"/>
      <c r="B64" s="144"/>
      <c r="C64" s="144"/>
      <c r="D64" s="144"/>
      <c r="E64" s="144"/>
      <c r="F64" s="144"/>
      <c r="G64" s="144"/>
    </row>
    <row r="65" spans="1:13" x14ac:dyDescent="0.35">
      <c r="A65" s="144"/>
      <c r="B65" s="144"/>
      <c r="C65" s="144"/>
      <c r="D65" s="144"/>
      <c r="E65" s="144"/>
      <c r="F65" s="144"/>
      <c r="G65" s="144"/>
    </row>
    <row r="66" spans="1:13" x14ac:dyDescent="0.35">
      <c r="A66" s="144"/>
      <c r="B66" s="144"/>
      <c r="C66" s="144"/>
      <c r="D66" s="144"/>
      <c r="E66" s="144"/>
      <c r="F66" s="144"/>
      <c r="G66" s="144"/>
    </row>
    <row r="67" spans="1:13" x14ac:dyDescent="0.35">
      <c r="A67" s="144"/>
      <c r="B67" s="144"/>
      <c r="C67" s="144"/>
      <c r="D67" s="144"/>
      <c r="E67" s="144"/>
      <c r="F67" s="144"/>
      <c r="G67" s="144"/>
    </row>
    <row r="68" spans="1:13" x14ac:dyDescent="0.35">
      <c r="A68" s="144"/>
      <c r="B68" s="144"/>
      <c r="C68" s="144"/>
      <c r="D68" s="144"/>
      <c r="E68" s="144"/>
      <c r="F68" s="144"/>
      <c r="G68" s="144"/>
    </row>
    <row r="69" spans="1:13" x14ac:dyDescent="0.35">
      <c r="A69" s="144"/>
      <c r="B69" s="144"/>
      <c r="C69" s="144"/>
      <c r="D69" s="144"/>
      <c r="E69" s="144"/>
      <c r="F69" s="144"/>
      <c r="G69" s="144"/>
    </row>
    <row r="70" spans="1:13" x14ac:dyDescent="0.35">
      <c r="A70" s="144"/>
      <c r="B70" s="144"/>
      <c r="C70" s="144"/>
      <c r="D70" s="144"/>
      <c r="E70" s="144"/>
      <c r="F70" s="144"/>
      <c r="G70" s="144"/>
    </row>
    <row r="71" spans="1:13" x14ac:dyDescent="0.35">
      <c r="A71" s="144"/>
      <c r="B71" s="144"/>
      <c r="C71" s="144"/>
      <c r="D71" s="144"/>
      <c r="E71" s="144"/>
      <c r="F71" s="144"/>
      <c r="G71" s="144"/>
    </row>
    <row r="72" spans="1:13" x14ac:dyDescent="0.35">
      <c r="A72" s="144"/>
      <c r="B72" s="144"/>
      <c r="C72" s="144"/>
      <c r="D72" s="144"/>
      <c r="E72" s="144"/>
      <c r="F72" s="144"/>
      <c r="G72" s="144"/>
      <c r="K72" s="205"/>
    </row>
    <row r="73" spans="1:13" x14ac:dyDescent="0.35">
      <c r="A73" s="144"/>
      <c r="B73" s="144"/>
      <c r="C73" s="144"/>
      <c r="D73" s="144"/>
      <c r="E73" s="144"/>
      <c r="F73" s="144"/>
      <c r="G73" s="144"/>
    </row>
    <row r="74" spans="1:13" x14ac:dyDescent="0.35">
      <c r="A74" s="144"/>
      <c r="B74" s="144"/>
      <c r="C74" s="144"/>
      <c r="D74" s="144"/>
      <c r="E74" s="144"/>
      <c r="F74" s="144"/>
      <c r="G74" s="144"/>
    </row>
    <row r="75" spans="1:13" x14ac:dyDescent="0.35">
      <c r="A75" s="144"/>
      <c r="B75" s="144"/>
      <c r="C75" s="144"/>
      <c r="D75" s="144"/>
      <c r="E75" s="144"/>
      <c r="F75" s="144"/>
      <c r="G75" s="144"/>
    </row>
    <row r="76" spans="1:13" x14ac:dyDescent="0.35">
      <c r="A76" s="144"/>
      <c r="B76" s="144"/>
      <c r="C76" s="144"/>
      <c r="D76" s="144"/>
      <c r="E76" s="144"/>
      <c r="F76" s="144"/>
      <c r="G76" s="144"/>
      <c r="L76" s="144"/>
      <c r="M76" s="144"/>
    </row>
    <row r="77" spans="1:13" x14ac:dyDescent="0.35">
      <c r="A77" s="144"/>
      <c r="B77" s="144"/>
      <c r="C77" s="144"/>
      <c r="D77" s="144"/>
      <c r="E77" s="144"/>
      <c r="F77" s="144"/>
      <c r="G77" s="144"/>
      <c r="L77" s="144"/>
      <c r="M77" s="144"/>
    </row>
    <row r="78" spans="1:13" x14ac:dyDescent="0.35">
      <c r="A78" s="144"/>
      <c r="B78" s="144"/>
      <c r="C78" s="144"/>
      <c r="D78" s="144"/>
      <c r="E78" s="144"/>
      <c r="F78" s="144"/>
      <c r="G78" s="144"/>
      <c r="L78" s="144"/>
      <c r="M78" s="144"/>
    </row>
    <row r="79" spans="1:13" x14ac:dyDescent="0.35">
      <c r="A79" s="144"/>
      <c r="B79" s="144"/>
      <c r="C79" s="144"/>
      <c r="D79" s="144"/>
      <c r="E79" s="144"/>
      <c r="F79" s="144"/>
      <c r="G79" s="144"/>
      <c r="L79" s="144"/>
      <c r="M79" s="144"/>
    </row>
    <row r="80" spans="1:13" x14ac:dyDescent="0.35">
      <c r="A80" s="144"/>
      <c r="B80" s="144"/>
      <c r="C80" s="144"/>
      <c r="D80" s="144"/>
      <c r="E80" s="144"/>
      <c r="F80" s="144"/>
      <c r="G80" s="144"/>
      <c r="L80" s="144"/>
      <c r="M80" s="144"/>
    </row>
    <row r="81" spans="1:21" x14ac:dyDescent="0.35">
      <c r="A81" s="144"/>
      <c r="B81" s="144"/>
      <c r="C81" s="144"/>
      <c r="D81" s="144"/>
      <c r="E81" s="144"/>
      <c r="F81" s="144"/>
      <c r="G81" s="144"/>
      <c r="L81" s="144"/>
      <c r="M81" s="144"/>
    </row>
    <row r="82" spans="1:21" x14ac:dyDescent="0.35">
      <c r="A82" s="144"/>
      <c r="B82" s="144"/>
      <c r="C82" s="144"/>
      <c r="D82" s="144"/>
      <c r="E82" s="144"/>
      <c r="F82" s="144"/>
      <c r="G82" s="144"/>
      <c r="L82" s="144"/>
      <c r="M82" s="144"/>
    </row>
    <row r="83" spans="1:21" x14ac:dyDescent="0.35">
      <c r="A83" s="144"/>
      <c r="B83" s="144"/>
      <c r="C83" s="144"/>
      <c r="D83" s="144"/>
      <c r="E83" s="144"/>
      <c r="F83" s="144"/>
      <c r="G83" s="144"/>
      <c r="L83" s="144"/>
      <c r="M83" s="144"/>
    </row>
    <row r="84" spans="1:21" x14ac:dyDescent="0.35">
      <c r="A84" s="144"/>
      <c r="B84" s="144"/>
      <c r="C84" s="144"/>
      <c r="D84" s="144"/>
      <c r="E84" s="144"/>
      <c r="F84" s="144"/>
      <c r="G84" s="144"/>
      <c r="L84" s="144"/>
      <c r="M84" s="144"/>
    </row>
    <row r="85" spans="1:21" x14ac:dyDescent="0.35">
      <c r="A85" s="144"/>
      <c r="B85" s="144"/>
      <c r="C85" s="144"/>
      <c r="D85" s="144"/>
      <c r="E85" s="144"/>
      <c r="F85" s="144"/>
      <c r="G85" s="144"/>
      <c r="L85" s="144"/>
      <c r="M85" s="144"/>
      <c r="U85" s="182"/>
    </row>
    <row r="86" spans="1:21" x14ac:dyDescent="0.35">
      <c r="A86" s="144"/>
      <c r="B86" s="144"/>
      <c r="C86" s="144"/>
      <c r="D86" s="144"/>
      <c r="E86" s="144"/>
      <c r="F86" s="144"/>
      <c r="G86" s="144"/>
      <c r="L86" s="144"/>
      <c r="M86" s="144"/>
      <c r="U86" s="205"/>
    </row>
    <row r="87" spans="1:21" x14ac:dyDescent="0.35">
      <c r="A87" s="144"/>
      <c r="B87" s="144"/>
      <c r="C87" s="144"/>
      <c r="D87" s="144"/>
      <c r="E87" s="144"/>
      <c r="F87" s="144"/>
      <c r="G87" s="144"/>
      <c r="L87" s="144"/>
      <c r="M87" s="144"/>
    </row>
    <row r="88" spans="1:21" x14ac:dyDescent="0.35">
      <c r="A88" s="144"/>
      <c r="B88" s="144"/>
      <c r="C88" s="144"/>
      <c r="D88" s="144"/>
      <c r="E88" s="144"/>
      <c r="F88" s="144"/>
      <c r="G88" s="144"/>
      <c r="L88" s="144"/>
      <c r="M88" s="144"/>
    </row>
    <row r="89" spans="1:21" x14ac:dyDescent="0.35">
      <c r="A89" s="144"/>
      <c r="B89" s="144"/>
      <c r="C89" s="144"/>
      <c r="D89" s="144"/>
      <c r="E89" s="144"/>
      <c r="F89" s="144"/>
      <c r="G89" s="144"/>
      <c r="L89" s="144"/>
      <c r="M89" s="144"/>
    </row>
    <row r="90" spans="1:21" x14ac:dyDescent="0.35">
      <c r="A90" s="144"/>
      <c r="B90" s="144"/>
      <c r="C90" s="144"/>
      <c r="D90" s="144"/>
      <c r="E90" s="144"/>
      <c r="F90" s="144"/>
      <c r="G90" s="144"/>
      <c r="L90" s="144"/>
      <c r="M90" s="144"/>
    </row>
    <row r="91" spans="1:21" x14ac:dyDescent="0.35">
      <c r="A91" s="144"/>
      <c r="B91" s="144"/>
      <c r="C91" s="144"/>
      <c r="D91" s="144"/>
      <c r="E91" s="144"/>
      <c r="F91" s="144"/>
      <c r="G91" s="144"/>
      <c r="L91" s="144"/>
      <c r="M91" s="144"/>
    </row>
    <row r="92" spans="1:21" x14ac:dyDescent="0.35">
      <c r="A92" s="144"/>
      <c r="B92" s="144"/>
      <c r="C92" s="144"/>
      <c r="D92" s="144"/>
      <c r="E92" s="144"/>
      <c r="F92" s="144"/>
      <c r="G92" s="144"/>
      <c r="L92" s="144"/>
      <c r="M92" s="144"/>
    </row>
    <row r="93" spans="1:21" x14ac:dyDescent="0.35">
      <c r="A93" s="144"/>
      <c r="B93" s="144"/>
      <c r="C93" s="144"/>
      <c r="D93" s="144"/>
      <c r="E93" s="144"/>
      <c r="F93" s="144"/>
      <c r="G93" s="144"/>
      <c r="L93" s="144"/>
      <c r="M93" s="144"/>
      <c r="T93" s="177"/>
    </row>
  </sheetData>
  <mergeCells count="15">
    <mergeCell ref="A58:F58"/>
    <mergeCell ref="B14:C14"/>
    <mergeCell ref="A18:J18"/>
    <mergeCell ref="L18:U18"/>
    <mergeCell ref="A31:J31"/>
    <mergeCell ref="L31:U31"/>
    <mergeCell ref="A44:J44"/>
    <mergeCell ref="B13:C13"/>
    <mergeCell ref="B6:C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scale="43" orientation="landscape" r:id="rId1"/>
  <headerFooter>
    <oddHeader xml:space="preserve">&amp;L&amp;G&amp;C&amp;"Times New Roman,Bold"&amp;12ACOM Policy 306, Attachment B -
APM Quality Performance Measure Scores - ACC
For the Contract Year Ending 09/30/21
&amp;K000000
</oddHeader>
    <oddFooter>&amp;L&amp;"Times New Roman,Bold"Effective Dates: 10/01/20, 10/01/21, 09/30/22
Approval Dates: 04/13/21, 09/22/21, 10/06/22&amp;C&amp;"Times New Roman,Bold"&amp;12 306, Attachment B - 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91"/>
  <sheetViews>
    <sheetView view="pageLayout" zoomScale="140" zoomScaleNormal="80" zoomScalePageLayoutView="140" workbookViewId="0"/>
  </sheetViews>
  <sheetFormatPr defaultColWidth="9.7265625" defaultRowHeight="15.5" x14ac:dyDescent="0.35"/>
  <cols>
    <col min="1" max="1" width="17" style="130" customWidth="1"/>
    <col min="2" max="2" width="8.453125" style="130" customWidth="1"/>
    <col min="3" max="3" width="10" style="130" customWidth="1"/>
    <col min="4" max="4" width="13.54296875" style="130" customWidth="1"/>
    <col min="5" max="5" width="16.54296875" style="130" bestFit="1" customWidth="1"/>
    <col min="6" max="6" width="14.54296875" style="130" customWidth="1"/>
    <col min="7" max="7" width="23.453125" style="130" bestFit="1" customWidth="1"/>
    <col min="8" max="8" width="11.54296875" style="130" bestFit="1" customWidth="1"/>
    <col min="9" max="9" width="6.54296875" style="130" customWidth="1"/>
    <col min="10" max="10" width="16.1796875" style="130" customWidth="1"/>
    <col min="11" max="11" width="8.453125" style="130" customWidth="1"/>
    <col min="12" max="12" width="10" style="130" customWidth="1"/>
    <col min="13" max="13" width="13.54296875" style="130" customWidth="1"/>
    <col min="14" max="14" width="10.81640625" style="130" customWidth="1"/>
    <col min="15" max="15" width="15.81640625" style="130" customWidth="1"/>
    <col min="16" max="16" width="12.453125" style="130" customWidth="1"/>
    <col min="17" max="17" width="11.7265625" style="130" bestFit="1" customWidth="1"/>
    <col min="18" max="18" width="9.7265625" style="130"/>
    <col min="19" max="19" width="16.1796875" style="130" customWidth="1"/>
    <col min="20" max="20" width="8.453125" style="130" customWidth="1"/>
    <col min="21" max="21" width="6.1796875" style="130" customWidth="1"/>
    <col min="22" max="22" width="12.7265625" style="130" bestFit="1" customWidth="1"/>
    <col min="23" max="23" width="9.453125" style="130" customWidth="1"/>
    <col min="24" max="24" width="12.7265625" style="130" customWidth="1"/>
    <col min="25" max="25" width="12" style="130" customWidth="1"/>
    <col min="26" max="26" width="11.7265625" style="130" customWidth="1"/>
    <col min="27" max="16384" width="9.7265625" style="130"/>
  </cols>
  <sheetData>
    <row r="1" spans="1:32" x14ac:dyDescent="0.35">
      <c r="A1" s="93" t="s">
        <v>0</v>
      </c>
      <c r="J1" s="85"/>
      <c r="K1" s="86"/>
      <c r="L1" s="85"/>
      <c r="M1" s="85"/>
      <c r="S1" s="85"/>
      <c r="T1" s="86"/>
      <c r="U1" s="85"/>
      <c r="V1" s="85"/>
    </row>
    <row r="2" spans="1:32" x14ac:dyDescent="0.35">
      <c r="L2" s="85"/>
      <c r="M2" s="94"/>
      <c r="U2" s="85"/>
      <c r="V2" s="94"/>
    </row>
    <row r="3" spans="1:32" x14ac:dyDescent="0.35">
      <c r="A3" s="87" t="s">
        <v>1</v>
      </c>
      <c r="B3" s="88"/>
      <c r="C3" s="8">
        <v>0.01</v>
      </c>
      <c r="E3" s="9" t="s">
        <v>26</v>
      </c>
      <c r="F3" s="94">
        <v>3</v>
      </c>
      <c r="G3" s="94"/>
      <c r="H3" s="94"/>
      <c r="K3" s="94"/>
      <c r="L3" s="85"/>
      <c r="T3" s="94"/>
      <c r="U3" s="85"/>
    </row>
    <row r="4" spans="1:32" x14ac:dyDescent="0.35">
      <c r="E4" s="10"/>
      <c r="F4" s="94"/>
      <c r="G4" s="94"/>
      <c r="H4" s="94"/>
      <c r="S4" s="95" t="s">
        <v>24</v>
      </c>
      <c r="T4" s="96"/>
      <c r="U4" s="96"/>
      <c r="V4" s="96"/>
      <c r="W4" s="96"/>
      <c r="X4" s="96"/>
      <c r="Y4" s="96"/>
      <c r="Z4" s="97"/>
    </row>
    <row r="5" spans="1:32" x14ac:dyDescent="0.35">
      <c r="A5" s="98" t="s">
        <v>3</v>
      </c>
      <c r="B5" s="346" t="s">
        <v>4</v>
      </c>
      <c r="C5" s="347"/>
      <c r="G5" s="99"/>
      <c r="H5" s="99"/>
      <c r="S5" s="100"/>
      <c r="T5" s="101"/>
      <c r="U5" s="86"/>
      <c r="V5" s="102">
        <v>1</v>
      </c>
      <c r="W5" s="103"/>
      <c r="X5" s="104"/>
      <c r="Y5" s="105"/>
      <c r="Z5" s="106"/>
    </row>
    <row r="6" spans="1:32" ht="46.5" x14ac:dyDescent="0.35">
      <c r="A6" s="100" t="s">
        <v>9</v>
      </c>
      <c r="B6" s="344">
        <v>2000000</v>
      </c>
      <c r="C6" s="345"/>
      <c r="D6" s="11"/>
      <c r="E6" s="12" t="s">
        <v>5</v>
      </c>
      <c r="F6" s="107" t="s">
        <v>6</v>
      </c>
      <c r="G6" s="13"/>
      <c r="H6" s="13"/>
      <c r="S6" s="108" t="s">
        <v>3</v>
      </c>
      <c r="T6" s="109"/>
      <c r="U6" s="109" t="s">
        <v>5</v>
      </c>
      <c r="V6" s="14" t="s">
        <v>21</v>
      </c>
      <c r="W6" s="15" t="s">
        <v>11</v>
      </c>
      <c r="X6" s="109" t="s">
        <v>22</v>
      </c>
      <c r="Y6" s="109" t="s">
        <v>23</v>
      </c>
      <c r="Z6" s="110" t="s">
        <v>12</v>
      </c>
    </row>
    <row r="7" spans="1:32" x14ac:dyDescent="0.35">
      <c r="A7" s="100" t="s">
        <v>13</v>
      </c>
      <c r="B7" s="344">
        <v>5000000</v>
      </c>
      <c r="C7" s="345"/>
      <c r="D7" s="11"/>
      <c r="E7" s="16">
        <v>1</v>
      </c>
      <c r="F7" s="17">
        <v>1.3</v>
      </c>
      <c r="G7" s="13"/>
      <c r="H7" s="13"/>
      <c r="I7" s="111"/>
      <c r="S7" s="100" t="s">
        <v>9</v>
      </c>
      <c r="T7" s="101"/>
      <c r="U7" s="112">
        <v>1</v>
      </c>
      <c r="V7" s="19">
        <v>2000000</v>
      </c>
      <c r="W7" s="28">
        <v>1.5477175012310898</v>
      </c>
      <c r="X7" s="19">
        <v>3095435.0024621794</v>
      </c>
      <c r="Y7" s="19">
        <v>1886055.7855482013</v>
      </c>
      <c r="Z7" s="21">
        <v>1209379.2169139786</v>
      </c>
    </row>
    <row r="8" spans="1:32" x14ac:dyDescent="0.35">
      <c r="A8" s="100" t="s">
        <v>15</v>
      </c>
      <c r="B8" s="344">
        <v>2000000</v>
      </c>
      <c r="C8" s="345"/>
      <c r="D8" s="11"/>
      <c r="E8" s="16">
        <v>2</v>
      </c>
      <c r="F8" s="17">
        <v>1.1333333333333333</v>
      </c>
      <c r="G8" s="13"/>
      <c r="H8" s="13"/>
      <c r="S8" s="100" t="s">
        <v>13</v>
      </c>
      <c r="T8" s="101"/>
      <c r="U8" s="112">
        <v>2</v>
      </c>
      <c r="V8" s="19">
        <v>5000000</v>
      </c>
      <c r="W8" s="28">
        <v>1.3397731596281242</v>
      </c>
      <c r="X8" s="19">
        <v>6698865.7981406208</v>
      </c>
      <c r="Y8" s="19">
        <v>4475764.0067911716</v>
      </c>
      <c r="Z8" s="22">
        <v>2223101.7913494501</v>
      </c>
    </row>
    <row r="9" spans="1:32" x14ac:dyDescent="0.35">
      <c r="A9" s="100" t="s">
        <v>17</v>
      </c>
      <c r="B9" s="344">
        <v>500000</v>
      </c>
      <c r="C9" s="345"/>
      <c r="D9" s="11"/>
      <c r="E9" s="16">
        <v>3</v>
      </c>
      <c r="F9" s="17">
        <v>0.96666666666666656</v>
      </c>
      <c r="G9" s="13"/>
      <c r="H9" s="13"/>
      <c r="S9" s="100" t="s">
        <v>17</v>
      </c>
      <c r="T9" s="101"/>
      <c r="U9" s="112">
        <v>3</v>
      </c>
      <c r="V9" s="19">
        <v>500000</v>
      </c>
      <c r="W9" s="28">
        <v>1.2358359705915596</v>
      </c>
      <c r="X9" s="19">
        <v>617917.98529577977</v>
      </c>
      <c r="Y9" s="19">
        <v>453923.50810948433</v>
      </c>
      <c r="Z9" s="22">
        <v>163994.47718629532</v>
      </c>
    </row>
    <row r="10" spans="1:32" x14ac:dyDescent="0.35">
      <c r="A10" s="100" t="s">
        <v>16</v>
      </c>
      <c r="B10" s="344">
        <v>7000000</v>
      </c>
      <c r="C10" s="345"/>
      <c r="D10" s="11"/>
      <c r="E10" s="16">
        <v>4</v>
      </c>
      <c r="F10" s="17">
        <v>0.79999999999999993</v>
      </c>
      <c r="G10" s="13"/>
      <c r="H10" s="13"/>
      <c r="S10" s="100" t="s">
        <v>15</v>
      </c>
      <c r="T10" s="101"/>
      <c r="U10" s="112">
        <v>5</v>
      </c>
      <c r="V10" s="19">
        <v>2000000</v>
      </c>
      <c r="W10" s="28">
        <v>0.99485726125180396</v>
      </c>
      <c r="X10" s="19">
        <v>1989714.5225036079</v>
      </c>
      <c r="Y10" s="19">
        <v>1756661.351318517</v>
      </c>
      <c r="Z10" s="23">
        <v>233053.17118509076</v>
      </c>
    </row>
    <row r="11" spans="1:32" x14ac:dyDescent="0.35">
      <c r="A11" s="100" t="s">
        <v>18</v>
      </c>
      <c r="B11" s="344">
        <v>3000000</v>
      </c>
      <c r="C11" s="345"/>
      <c r="D11" s="11"/>
      <c r="E11" s="16">
        <v>5</v>
      </c>
      <c r="F11" s="17">
        <v>0.6333333333333333</v>
      </c>
      <c r="G11" s="13"/>
      <c r="H11" s="13"/>
      <c r="S11" s="100" t="s">
        <v>14</v>
      </c>
      <c r="T11" s="101"/>
      <c r="U11" s="112">
        <v>4</v>
      </c>
      <c r="V11" s="19">
        <v>4000000</v>
      </c>
      <c r="W11" s="28">
        <v>1.01855453784511</v>
      </c>
      <c r="X11" s="19">
        <v>4074218.1513804402</v>
      </c>
      <c r="Y11" s="19">
        <v>3132643.7967825243</v>
      </c>
      <c r="Z11" s="23">
        <v>941574.35459791601</v>
      </c>
    </row>
    <row r="12" spans="1:32" x14ac:dyDescent="0.35">
      <c r="A12" s="100" t="s">
        <v>14</v>
      </c>
      <c r="B12" s="344">
        <v>4000000</v>
      </c>
      <c r="C12" s="345"/>
      <c r="D12" s="11"/>
      <c r="E12" s="16">
        <v>6</v>
      </c>
      <c r="F12" s="17">
        <v>0.46666666666666667</v>
      </c>
      <c r="G12" s="13"/>
      <c r="H12" s="13"/>
      <c r="S12" s="100" t="s">
        <v>16</v>
      </c>
      <c r="T12" s="101"/>
      <c r="U12" s="112">
        <v>6</v>
      </c>
      <c r="V12" s="19">
        <v>7000000</v>
      </c>
      <c r="W12" s="28">
        <v>0.78700095807060599</v>
      </c>
      <c r="X12" s="19">
        <v>5509006.706494242</v>
      </c>
      <c r="Y12" s="19">
        <v>5145420.5049199257</v>
      </c>
      <c r="Z12" s="23">
        <v>363586.20157431648</v>
      </c>
    </row>
    <row r="13" spans="1:32" x14ac:dyDescent="0.35">
      <c r="A13" s="113" t="s">
        <v>19</v>
      </c>
      <c r="B13" s="348">
        <v>23500000</v>
      </c>
      <c r="C13" s="349"/>
      <c r="D13" s="11"/>
      <c r="E13" s="24">
        <v>7</v>
      </c>
      <c r="F13" s="25">
        <v>0.3</v>
      </c>
      <c r="G13" s="13"/>
      <c r="H13" s="13"/>
      <c r="S13" s="100" t="s">
        <v>18</v>
      </c>
      <c r="T13" s="101"/>
      <c r="U13" s="112">
        <v>7</v>
      </c>
      <c r="V13" s="19">
        <v>3000000</v>
      </c>
      <c r="W13" s="28">
        <v>0.50494727790770844</v>
      </c>
      <c r="X13" s="19">
        <v>1514841.8337231253</v>
      </c>
      <c r="Y13" s="19">
        <v>1514841.8337231253</v>
      </c>
      <c r="Z13" s="27">
        <v>0</v>
      </c>
    </row>
    <row r="14" spans="1:32" x14ac:dyDescent="0.35">
      <c r="A14" s="112"/>
      <c r="B14" s="112"/>
      <c r="C14" s="112"/>
      <c r="D14" s="19"/>
      <c r="E14" s="28"/>
      <c r="F14" s="114"/>
      <c r="G14" s="114"/>
      <c r="H14" s="114"/>
      <c r="S14" s="95" t="s">
        <v>19</v>
      </c>
      <c r="T14" s="115"/>
      <c r="U14" s="115"/>
      <c r="V14" s="30">
        <v>23500000</v>
      </c>
      <c r="W14" s="116">
        <v>0.99999999999999989</v>
      </c>
      <c r="X14" s="30">
        <v>23499999.999999996</v>
      </c>
      <c r="Y14" s="117">
        <v>18365310.787192952</v>
      </c>
      <c r="Z14" s="118">
        <v>5134689.2128070472</v>
      </c>
    </row>
    <row r="15" spans="1:32" x14ac:dyDescent="0.35">
      <c r="A15" s="94"/>
      <c r="B15" s="94"/>
      <c r="C15" s="94"/>
      <c r="D15" s="94"/>
      <c r="E15" s="94"/>
      <c r="F15" s="94"/>
      <c r="G15" s="94"/>
      <c r="H15" s="94"/>
      <c r="I15" s="94"/>
      <c r="R15" s="94"/>
      <c r="AA15" s="94"/>
      <c r="AB15" s="94"/>
      <c r="AC15" s="94"/>
      <c r="AD15" s="94"/>
      <c r="AE15" s="94"/>
      <c r="AF15" s="94"/>
    </row>
    <row r="16" spans="1:32" x14ac:dyDescent="0.35">
      <c r="A16" s="94"/>
      <c r="B16" s="94"/>
      <c r="C16" s="94"/>
      <c r="D16" s="94"/>
      <c r="E16" s="94"/>
      <c r="F16" s="94"/>
      <c r="G16" s="94"/>
      <c r="H16" s="94"/>
      <c r="I16" s="94"/>
      <c r="J16" s="112"/>
      <c r="K16" s="32"/>
      <c r="L16" s="112"/>
      <c r="M16" s="33"/>
      <c r="N16" s="9"/>
      <c r="O16" s="94"/>
      <c r="P16" s="94"/>
      <c r="Q16" s="94"/>
      <c r="R16" s="94"/>
      <c r="AA16" s="94"/>
      <c r="AB16" s="94"/>
      <c r="AC16" s="94"/>
      <c r="AD16" s="94"/>
      <c r="AE16" s="94"/>
      <c r="AF16" s="94"/>
    </row>
    <row r="17" spans="1:32" ht="29.25" customHeight="1" x14ac:dyDescent="0.35">
      <c r="A17" s="350" t="s">
        <v>27</v>
      </c>
      <c r="B17" s="351"/>
      <c r="C17" s="351"/>
      <c r="D17" s="351"/>
      <c r="E17" s="351"/>
      <c r="F17" s="351"/>
      <c r="G17" s="351"/>
      <c r="H17" s="352"/>
      <c r="I17" s="94"/>
      <c r="J17" s="353" t="s">
        <v>37</v>
      </c>
      <c r="K17" s="354"/>
      <c r="L17" s="354"/>
      <c r="M17" s="354"/>
      <c r="N17" s="354"/>
      <c r="O17" s="354"/>
      <c r="P17" s="354"/>
      <c r="Q17" s="355"/>
      <c r="R17" s="94"/>
      <c r="AA17" s="94"/>
      <c r="AB17" s="94"/>
      <c r="AC17" s="94"/>
      <c r="AD17" s="94"/>
      <c r="AE17" s="94"/>
      <c r="AF17" s="94"/>
    </row>
    <row r="18" spans="1:32" x14ac:dyDescent="0.35">
      <c r="A18" s="100" t="s">
        <v>7</v>
      </c>
      <c r="B18" s="101"/>
      <c r="C18" s="86"/>
      <c r="D18" s="102">
        <v>0.15</v>
      </c>
      <c r="E18" s="103" t="s">
        <v>8</v>
      </c>
      <c r="F18" s="104">
        <v>1.2381425705266005</v>
      </c>
      <c r="G18" s="105"/>
      <c r="H18" s="106"/>
      <c r="I18" s="89"/>
      <c r="J18" s="100" t="s">
        <v>7</v>
      </c>
      <c r="K18" s="101"/>
      <c r="L18" s="86"/>
      <c r="M18" s="102">
        <v>0.3</v>
      </c>
      <c r="N18" s="103" t="s">
        <v>8</v>
      </c>
      <c r="O18" s="104">
        <v>0.93539407860159995</v>
      </c>
      <c r="P18" s="105"/>
      <c r="Q18" s="106"/>
      <c r="R18" s="89"/>
      <c r="AA18" s="89"/>
      <c r="AB18" s="89"/>
      <c r="AC18" s="89"/>
      <c r="AD18" s="89"/>
      <c r="AE18" s="89"/>
      <c r="AF18" s="89"/>
    </row>
    <row r="19" spans="1:32" ht="46.5" x14ac:dyDescent="0.35">
      <c r="A19" s="108" t="s">
        <v>3</v>
      </c>
      <c r="B19" s="109" t="s">
        <v>10</v>
      </c>
      <c r="C19" s="109" t="s">
        <v>5</v>
      </c>
      <c r="D19" s="14" t="s">
        <v>21</v>
      </c>
      <c r="E19" s="15" t="s">
        <v>11</v>
      </c>
      <c r="F19" s="109" t="s">
        <v>22</v>
      </c>
      <c r="G19" s="109" t="s">
        <v>23</v>
      </c>
      <c r="H19" s="110" t="s">
        <v>12</v>
      </c>
      <c r="I19" s="94"/>
      <c r="J19" s="108" t="s">
        <v>3</v>
      </c>
      <c r="K19" s="109" t="s">
        <v>10</v>
      </c>
      <c r="L19" s="109" t="s">
        <v>5</v>
      </c>
      <c r="M19" s="14" t="s">
        <v>21</v>
      </c>
      <c r="N19" s="15" t="s">
        <v>11</v>
      </c>
      <c r="O19" s="109" t="s">
        <v>22</v>
      </c>
      <c r="P19" s="109" t="s">
        <v>23</v>
      </c>
      <c r="Q19" s="110" t="s">
        <v>12</v>
      </c>
    </row>
    <row r="20" spans="1:32" x14ac:dyDescent="0.35">
      <c r="A20" s="100" t="s">
        <v>9</v>
      </c>
      <c r="B20" s="18">
        <v>0.11367768595</v>
      </c>
      <c r="C20" s="112">
        <v>1</v>
      </c>
      <c r="D20" s="19">
        <v>300000</v>
      </c>
      <c r="E20" s="13">
        <v>2.1736349284702952</v>
      </c>
      <c r="F20" s="19">
        <v>652090.47854108852</v>
      </c>
      <c r="G20" s="20">
        <v>300000</v>
      </c>
      <c r="H20" s="21">
        <v>352090.47854108852</v>
      </c>
      <c r="I20" s="114"/>
      <c r="J20" s="100" t="s">
        <v>13</v>
      </c>
      <c r="K20" s="18">
        <v>0.498</v>
      </c>
      <c r="L20" s="112">
        <v>1</v>
      </c>
      <c r="M20" s="19">
        <v>1500000</v>
      </c>
      <c r="N20" s="13">
        <v>1.8599147412064705</v>
      </c>
      <c r="O20" s="19">
        <v>2789872.1118097058</v>
      </c>
      <c r="P20" s="20">
        <v>1500000</v>
      </c>
      <c r="Q20" s="21">
        <v>1289872.1118097058</v>
      </c>
    </row>
    <row r="21" spans="1:32" x14ac:dyDescent="0.35">
      <c r="A21" s="100" t="s">
        <v>13</v>
      </c>
      <c r="B21" s="18">
        <v>0.135847204438</v>
      </c>
      <c r="C21" s="112">
        <v>2</v>
      </c>
      <c r="D21" s="19">
        <v>750000</v>
      </c>
      <c r="E21" s="13">
        <v>1.4922167229253855</v>
      </c>
      <c r="F21" s="19">
        <v>1119162.5421940391</v>
      </c>
      <c r="G21" s="19">
        <v>750000</v>
      </c>
      <c r="H21" s="22">
        <v>369162.5421940391</v>
      </c>
      <c r="I21" s="114"/>
      <c r="J21" s="100" t="s">
        <v>14</v>
      </c>
      <c r="K21" s="18">
        <v>0.43</v>
      </c>
      <c r="L21" s="112">
        <v>2</v>
      </c>
      <c r="M21" s="19">
        <v>1200000</v>
      </c>
      <c r="N21" s="13">
        <v>1.2064547524964475</v>
      </c>
      <c r="O21" s="19">
        <v>1447745.7029957371</v>
      </c>
      <c r="P21" s="19">
        <v>1200000</v>
      </c>
      <c r="Q21" s="22">
        <v>247745.70299573708</v>
      </c>
      <c r="R21" s="33"/>
      <c r="AA21" s="33"/>
    </row>
    <row r="22" spans="1:32" x14ac:dyDescent="0.35">
      <c r="A22" s="100" t="s">
        <v>15</v>
      </c>
      <c r="B22" s="18">
        <v>0.137797851695</v>
      </c>
      <c r="C22" s="112">
        <v>3</v>
      </c>
      <c r="D22" s="19">
        <v>300000</v>
      </c>
      <c r="E22" s="13">
        <v>1.2440600437590472</v>
      </c>
      <c r="F22" s="19">
        <v>373218.01312771416</v>
      </c>
      <c r="G22" s="19">
        <v>300000</v>
      </c>
      <c r="H22" s="22">
        <v>73218.013127714163</v>
      </c>
      <c r="I22" s="114"/>
      <c r="J22" s="100" t="s">
        <v>9</v>
      </c>
      <c r="K22" s="18">
        <v>0.42099999999999999</v>
      </c>
      <c r="L22" s="112">
        <v>3</v>
      </c>
      <c r="M22" s="19">
        <v>600000</v>
      </c>
      <c r="N22" s="13">
        <v>0.98470208085959543</v>
      </c>
      <c r="O22" s="19">
        <v>590821.24851575727</v>
      </c>
      <c r="P22" s="19">
        <v>590821.24851575727</v>
      </c>
      <c r="Q22" s="119">
        <v>0</v>
      </c>
      <c r="R22" s="33"/>
      <c r="AA22" s="33"/>
    </row>
    <row r="23" spans="1:32" x14ac:dyDescent="0.35">
      <c r="A23" s="100" t="s">
        <v>17</v>
      </c>
      <c r="B23" s="18">
        <v>0.14031421863400001</v>
      </c>
      <c r="C23" s="112">
        <v>4</v>
      </c>
      <c r="D23" s="19">
        <v>75000</v>
      </c>
      <c r="E23" s="13">
        <v>0.99051405642128021</v>
      </c>
      <c r="F23" s="19">
        <v>74288.554231596019</v>
      </c>
      <c r="G23" s="19">
        <v>74288.554231596019</v>
      </c>
      <c r="H23" s="120">
        <v>0</v>
      </c>
      <c r="I23" s="114"/>
      <c r="J23" s="100" t="s">
        <v>16</v>
      </c>
      <c r="K23" s="18">
        <v>0.38500000000000001</v>
      </c>
      <c r="L23" s="112">
        <v>4</v>
      </c>
      <c r="M23" s="19">
        <v>2100000</v>
      </c>
      <c r="N23" s="13">
        <v>0.74831526288127992</v>
      </c>
      <c r="O23" s="19">
        <v>1571462.0520506878</v>
      </c>
      <c r="P23" s="19">
        <v>1571462.0520506878</v>
      </c>
      <c r="Q23" s="119">
        <v>0</v>
      </c>
      <c r="R23" s="33"/>
      <c r="AA23" s="33"/>
    </row>
    <row r="24" spans="1:32" x14ac:dyDescent="0.35">
      <c r="A24" s="100" t="s">
        <v>16</v>
      </c>
      <c r="B24" s="18">
        <v>0.15001044808</v>
      </c>
      <c r="C24" s="112">
        <v>5</v>
      </c>
      <c r="D24" s="19">
        <v>1050000</v>
      </c>
      <c r="E24" s="13">
        <v>0.78415696133351365</v>
      </c>
      <c r="F24" s="19">
        <v>823364.80940018932</v>
      </c>
      <c r="G24" s="19">
        <v>823364.80940018932</v>
      </c>
      <c r="H24" s="120">
        <v>0</v>
      </c>
      <c r="I24" s="114"/>
      <c r="J24" s="100" t="s">
        <v>17</v>
      </c>
      <c r="K24" s="18">
        <v>0.373</v>
      </c>
      <c r="L24" s="112">
        <v>5</v>
      </c>
      <c r="M24" s="19">
        <v>150000</v>
      </c>
      <c r="N24" s="13">
        <v>0.59241624978101326</v>
      </c>
      <c r="O24" s="19">
        <v>88862.437467151991</v>
      </c>
      <c r="P24" s="19">
        <v>88862.437467151991</v>
      </c>
      <c r="Q24" s="119">
        <v>0</v>
      </c>
      <c r="R24" s="33"/>
      <c r="AA24" s="33"/>
    </row>
    <row r="25" spans="1:32" x14ac:dyDescent="0.35">
      <c r="A25" s="100" t="s">
        <v>18</v>
      </c>
      <c r="B25" s="18">
        <v>0.15198835647100001</v>
      </c>
      <c r="C25" s="112">
        <v>6</v>
      </c>
      <c r="D25" s="19">
        <v>450000</v>
      </c>
      <c r="E25" s="13">
        <v>0.57779986624574686</v>
      </c>
      <c r="F25" s="19">
        <v>260009.93981058607</v>
      </c>
      <c r="G25" s="19">
        <v>260009.93981058607</v>
      </c>
      <c r="H25" s="120">
        <v>0</v>
      </c>
      <c r="I25" s="114"/>
      <c r="J25" s="100" t="s">
        <v>18</v>
      </c>
      <c r="K25" s="18">
        <v>0.371</v>
      </c>
      <c r="L25" s="112">
        <v>6</v>
      </c>
      <c r="M25" s="19">
        <v>900000</v>
      </c>
      <c r="N25" s="13">
        <v>0.4365172366807466</v>
      </c>
      <c r="O25" s="19">
        <v>392865.51301267196</v>
      </c>
      <c r="P25" s="19">
        <v>392865.51301267196</v>
      </c>
      <c r="Q25" s="119">
        <v>0</v>
      </c>
      <c r="R25" s="33"/>
      <c r="S25" s="94"/>
      <c r="T25" s="94"/>
      <c r="AA25" s="33"/>
    </row>
    <row r="26" spans="1:32" x14ac:dyDescent="0.35">
      <c r="A26" s="100" t="s">
        <v>14</v>
      </c>
      <c r="B26" s="18">
        <v>0.162294996025</v>
      </c>
      <c r="C26" s="112">
        <v>7</v>
      </c>
      <c r="D26" s="19">
        <v>600000</v>
      </c>
      <c r="E26" s="13">
        <v>0.37144277115798013</v>
      </c>
      <c r="F26" s="26">
        <v>222865.66269478807</v>
      </c>
      <c r="G26" s="19">
        <v>222865.66269478807</v>
      </c>
      <c r="H26" s="120">
        <v>0</v>
      </c>
      <c r="I26" s="114"/>
      <c r="J26" s="100" t="s">
        <v>15</v>
      </c>
      <c r="K26" s="18">
        <v>0.36299999999999999</v>
      </c>
      <c r="L26" s="112">
        <v>7</v>
      </c>
      <c r="M26" s="19">
        <v>600000</v>
      </c>
      <c r="N26" s="13">
        <v>0.28061822358048</v>
      </c>
      <c r="O26" s="19">
        <v>168370.93414828798</v>
      </c>
      <c r="P26" s="19">
        <v>168370.93414828798</v>
      </c>
      <c r="Q26" s="119">
        <v>0</v>
      </c>
      <c r="R26" s="33"/>
      <c r="S26" s="94"/>
      <c r="T26" s="94"/>
      <c r="AA26" s="33"/>
    </row>
    <row r="27" spans="1:32" x14ac:dyDescent="0.35">
      <c r="A27" s="95" t="s">
        <v>19</v>
      </c>
      <c r="B27" s="29">
        <v>0.14170439447042857</v>
      </c>
      <c r="C27" s="115"/>
      <c r="D27" s="30">
        <v>3525000</v>
      </c>
      <c r="E27" s="31">
        <v>1.0000000000000004</v>
      </c>
      <c r="F27" s="121">
        <v>3525000.0000000014</v>
      </c>
      <c r="G27" s="117">
        <v>2730528.9661371596</v>
      </c>
      <c r="H27" s="118">
        <v>794471.03386284178</v>
      </c>
      <c r="I27" s="94"/>
      <c r="J27" s="95" t="s">
        <v>19</v>
      </c>
      <c r="K27" s="29">
        <v>0.40585714285714286</v>
      </c>
      <c r="L27" s="115"/>
      <c r="M27" s="30">
        <v>7050000</v>
      </c>
      <c r="N27" s="31">
        <v>0.99999999999999989</v>
      </c>
      <c r="O27" s="117">
        <v>7049999.9999999991</v>
      </c>
      <c r="P27" s="117">
        <v>5512382.1851945575</v>
      </c>
      <c r="Q27" s="118">
        <v>1537617.8148054429</v>
      </c>
      <c r="R27" s="33"/>
      <c r="S27" s="94"/>
      <c r="T27" s="94"/>
      <c r="AA27" s="33"/>
    </row>
    <row r="28" spans="1:32" x14ac:dyDescent="0.35">
      <c r="A28" s="112" t="s">
        <v>20</v>
      </c>
      <c r="B28" s="32">
        <v>0.14000000000000001</v>
      </c>
      <c r="C28" s="112"/>
      <c r="D28" s="33"/>
      <c r="E28" s="9"/>
      <c r="F28" s="94"/>
      <c r="G28" s="94"/>
      <c r="H28" s="94"/>
      <c r="I28" s="94"/>
      <c r="J28" s="122" t="s">
        <v>20</v>
      </c>
      <c r="K28" s="123">
        <v>0.41</v>
      </c>
      <c r="L28" s="124"/>
      <c r="M28" s="26"/>
      <c r="N28" s="125"/>
      <c r="O28" s="131"/>
      <c r="P28" s="131"/>
      <c r="Q28" s="132"/>
      <c r="R28" s="114"/>
      <c r="S28" s="94"/>
      <c r="T28" s="94"/>
      <c r="AA28" s="114"/>
    </row>
    <row r="29" spans="1:32" x14ac:dyDescent="0.35">
      <c r="B29" s="32"/>
      <c r="C29" s="112"/>
      <c r="D29" s="33"/>
      <c r="E29" s="9"/>
      <c r="F29" s="94"/>
      <c r="G29" s="94"/>
      <c r="H29" s="94"/>
      <c r="I29" s="94"/>
      <c r="J29" s="112"/>
      <c r="K29" s="32"/>
      <c r="L29" s="112"/>
      <c r="M29" s="33"/>
      <c r="N29" s="9"/>
      <c r="R29" s="114"/>
      <c r="S29" s="94"/>
      <c r="T29" s="94"/>
      <c r="AA29" s="114"/>
    </row>
    <row r="30" spans="1:32" x14ac:dyDescent="0.35">
      <c r="A30" s="350" t="s">
        <v>33</v>
      </c>
      <c r="B30" s="351"/>
      <c r="C30" s="351"/>
      <c r="D30" s="351"/>
      <c r="E30" s="351"/>
      <c r="F30" s="351"/>
      <c r="G30" s="351"/>
      <c r="H30" s="352"/>
      <c r="I30" s="94"/>
      <c r="J30" s="350" t="s">
        <v>38</v>
      </c>
      <c r="K30" s="351"/>
      <c r="L30" s="351"/>
      <c r="M30" s="351"/>
      <c r="N30" s="351"/>
      <c r="O30" s="351"/>
      <c r="P30" s="351"/>
      <c r="Q30" s="352"/>
      <c r="S30" s="94"/>
      <c r="T30" s="94"/>
    </row>
    <row r="31" spans="1:32" x14ac:dyDescent="0.35">
      <c r="A31" s="100" t="s">
        <v>7</v>
      </c>
      <c r="B31" s="101"/>
      <c r="C31" s="86"/>
      <c r="D31" s="102">
        <v>0.15</v>
      </c>
      <c r="E31" s="103" t="s">
        <v>8</v>
      </c>
      <c r="F31" s="104">
        <v>1.3125366664493823</v>
      </c>
      <c r="G31" s="105"/>
      <c r="H31" s="106"/>
      <c r="I31" s="94"/>
      <c r="J31" s="100" t="s">
        <v>7</v>
      </c>
      <c r="K31" s="101"/>
      <c r="L31" s="86"/>
      <c r="M31" s="102">
        <v>0.15</v>
      </c>
      <c r="N31" s="103" t="s">
        <v>8</v>
      </c>
      <c r="O31" s="104">
        <v>1.1008797653958942</v>
      </c>
      <c r="P31" s="105"/>
      <c r="Q31" s="106"/>
      <c r="S31" s="94"/>
      <c r="T31" s="94"/>
    </row>
    <row r="32" spans="1:32" ht="46.5" x14ac:dyDescent="0.35">
      <c r="A32" s="108" t="s">
        <v>3</v>
      </c>
      <c r="B32" s="109" t="s">
        <v>10</v>
      </c>
      <c r="C32" s="109" t="s">
        <v>5</v>
      </c>
      <c r="D32" s="14" t="s">
        <v>21</v>
      </c>
      <c r="E32" s="15" t="s">
        <v>11</v>
      </c>
      <c r="F32" s="109" t="s">
        <v>22</v>
      </c>
      <c r="G32" s="109" t="s">
        <v>23</v>
      </c>
      <c r="H32" s="110" t="s">
        <v>12</v>
      </c>
      <c r="I32" s="94"/>
      <c r="J32" s="108" t="s">
        <v>3</v>
      </c>
      <c r="K32" s="109" t="s">
        <v>10</v>
      </c>
      <c r="L32" s="109" t="s">
        <v>5</v>
      </c>
      <c r="M32" s="14" t="s">
        <v>21</v>
      </c>
      <c r="N32" s="15" t="s">
        <v>11</v>
      </c>
      <c r="O32" s="109" t="s">
        <v>22</v>
      </c>
      <c r="P32" s="109" t="s">
        <v>23</v>
      </c>
      <c r="Q32" s="110" t="s">
        <v>12</v>
      </c>
      <c r="S32" s="94"/>
      <c r="T32" s="94"/>
    </row>
    <row r="33" spans="1:27" x14ac:dyDescent="0.35">
      <c r="A33" s="100" t="s">
        <v>9</v>
      </c>
      <c r="B33" s="34">
        <v>57</v>
      </c>
      <c r="C33" s="112">
        <v>1</v>
      </c>
      <c r="D33" s="19">
        <v>300000</v>
      </c>
      <c r="E33" s="13">
        <v>1.7580218043152316</v>
      </c>
      <c r="F33" s="19">
        <v>527406.5412945695</v>
      </c>
      <c r="G33" s="20">
        <v>300000</v>
      </c>
      <c r="H33" s="21">
        <v>227406.5412945695</v>
      </c>
      <c r="I33" s="94"/>
      <c r="J33" s="100" t="s">
        <v>9</v>
      </c>
      <c r="K33" s="18">
        <v>0.66800000000000004</v>
      </c>
      <c r="L33" s="112">
        <v>1</v>
      </c>
      <c r="M33" s="19">
        <v>300000</v>
      </c>
      <c r="N33" s="126">
        <v>1.7711436950146628</v>
      </c>
      <c r="O33" s="19">
        <v>531343.10850439884</v>
      </c>
      <c r="P33" s="20">
        <v>300000</v>
      </c>
      <c r="Q33" s="21">
        <v>231343.10850439884</v>
      </c>
      <c r="S33" s="94"/>
      <c r="T33" s="94"/>
    </row>
    <row r="34" spans="1:27" x14ac:dyDescent="0.35">
      <c r="A34" s="100" t="s">
        <v>13</v>
      </c>
      <c r="B34" s="34">
        <v>57.25</v>
      </c>
      <c r="C34" s="112">
        <v>2</v>
      </c>
      <c r="D34" s="19">
        <v>750000</v>
      </c>
      <c r="E34" s="13">
        <v>1.5263346587575757</v>
      </c>
      <c r="F34" s="19">
        <v>1144750.9940681818</v>
      </c>
      <c r="G34" s="19">
        <v>750000</v>
      </c>
      <c r="H34" s="22">
        <v>394750.99406818184</v>
      </c>
      <c r="I34" s="94"/>
      <c r="J34" s="100" t="s">
        <v>13</v>
      </c>
      <c r="K34" s="18">
        <v>0.66100000000000003</v>
      </c>
      <c r="L34" s="112">
        <v>2</v>
      </c>
      <c r="M34" s="19">
        <v>750000</v>
      </c>
      <c r="N34" s="28">
        <v>1.5526637341153469</v>
      </c>
      <c r="O34" s="19">
        <v>1164497.8005865102</v>
      </c>
      <c r="P34" s="19">
        <v>750000</v>
      </c>
      <c r="Q34" s="22">
        <v>414497.80058651022</v>
      </c>
      <c r="S34" s="94"/>
      <c r="T34" s="94"/>
    </row>
    <row r="35" spans="1:27" x14ac:dyDescent="0.35">
      <c r="A35" s="100" t="s">
        <v>15</v>
      </c>
      <c r="B35" s="34">
        <v>57.5</v>
      </c>
      <c r="C35" s="112">
        <v>3</v>
      </c>
      <c r="D35" s="19">
        <v>300000</v>
      </c>
      <c r="E35" s="13">
        <v>1.29464751319992</v>
      </c>
      <c r="F35" s="19">
        <v>388394.25395997602</v>
      </c>
      <c r="G35" s="19">
        <v>300000</v>
      </c>
      <c r="H35" s="22">
        <v>88394.25395997602</v>
      </c>
      <c r="I35" s="94"/>
      <c r="J35" s="100" t="s">
        <v>17</v>
      </c>
      <c r="K35" s="18">
        <v>0.65800000000000003</v>
      </c>
      <c r="L35" s="112">
        <v>3</v>
      </c>
      <c r="M35" s="19">
        <v>75000</v>
      </c>
      <c r="N35" s="28">
        <v>1.3541837732160311</v>
      </c>
      <c r="O35" s="19">
        <v>101563.78299120233</v>
      </c>
      <c r="P35" s="19">
        <v>75000</v>
      </c>
      <c r="Q35" s="22">
        <v>26563.78299120233</v>
      </c>
      <c r="S35" s="94"/>
      <c r="T35" s="94"/>
    </row>
    <row r="36" spans="1:27" x14ac:dyDescent="0.35">
      <c r="A36" s="100" t="s">
        <v>17</v>
      </c>
      <c r="B36" s="34">
        <v>57.75</v>
      </c>
      <c r="C36" s="112">
        <v>4</v>
      </c>
      <c r="D36" s="19">
        <v>75000</v>
      </c>
      <c r="E36" s="13">
        <v>1.0629603676422645</v>
      </c>
      <c r="F36" s="19">
        <v>79722.027573169835</v>
      </c>
      <c r="G36" s="19">
        <v>75000</v>
      </c>
      <c r="H36" s="22">
        <v>4722.0275731698348</v>
      </c>
      <c r="I36" s="94"/>
      <c r="J36" s="100" t="s">
        <v>15</v>
      </c>
      <c r="K36" s="18">
        <v>0.64500000000000002</v>
      </c>
      <c r="L36" s="112">
        <v>4</v>
      </c>
      <c r="M36" s="19">
        <v>300000</v>
      </c>
      <c r="N36" s="28">
        <v>1.1057038123167153</v>
      </c>
      <c r="O36" s="19">
        <v>331711.14369501459</v>
      </c>
      <c r="P36" s="19">
        <v>300000</v>
      </c>
      <c r="Q36" s="23">
        <v>31711.143695014587</v>
      </c>
      <c r="S36" s="94"/>
      <c r="T36" s="94"/>
    </row>
    <row r="37" spans="1:27" x14ac:dyDescent="0.35">
      <c r="A37" s="100" t="s">
        <v>16</v>
      </c>
      <c r="B37" s="34">
        <v>58</v>
      </c>
      <c r="C37" s="112">
        <v>5</v>
      </c>
      <c r="D37" s="19">
        <v>1050000</v>
      </c>
      <c r="E37" s="13">
        <v>0.83127322208460874</v>
      </c>
      <c r="F37" s="19">
        <v>872836.88318883919</v>
      </c>
      <c r="G37" s="19">
        <v>872836.88318883919</v>
      </c>
      <c r="H37" s="120">
        <v>0</v>
      </c>
      <c r="I37" s="94"/>
      <c r="J37" s="100" t="s">
        <v>14</v>
      </c>
      <c r="K37" s="18">
        <v>0.63700000000000001</v>
      </c>
      <c r="L37" s="112">
        <v>5</v>
      </c>
      <c r="M37" s="19">
        <v>600000</v>
      </c>
      <c r="N37" s="28">
        <v>0.88222385141739967</v>
      </c>
      <c r="O37" s="19">
        <v>529334.31085043983</v>
      </c>
      <c r="P37" s="19">
        <v>529334.31085043983</v>
      </c>
      <c r="Q37" s="120">
        <v>0</v>
      </c>
      <c r="S37" s="94"/>
      <c r="T37" s="94"/>
    </row>
    <row r="38" spans="1:27" x14ac:dyDescent="0.35">
      <c r="A38" s="100" t="s">
        <v>18</v>
      </c>
      <c r="B38" s="34">
        <v>58.25</v>
      </c>
      <c r="C38" s="112">
        <v>6</v>
      </c>
      <c r="D38" s="19">
        <v>450000</v>
      </c>
      <c r="E38" s="13">
        <v>0.61251711100971185</v>
      </c>
      <c r="F38" s="19">
        <v>275632.69995437033</v>
      </c>
      <c r="G38" s="19">
        <v>275632.69995437033</v>
      </c>
      <c r="H38" s="120">
        <v>0</v>
      </c>
      <c r="I38" s="94"/>
      <c r="J38" s="100" t="s">
        <v>16</v>
      </c>
      <c r="K38" s="18">
        <v>0.63400000000000001</v>
      </c>
      <c r="L38" s="112">
        <v>6</v>
      </c>
      <c r="M38" s="19">
        <v>1050000</v>
      </c>
      <c r="N38" s="28">
        <v>0.68374389051808426</v>
      </c>
      <c r="O38" s="19">
        <v>717931.08504398842</v>
      </c>
      <c r="P38" s="19">
        <v>717931.08504398842</v>
      </c>
      <c r="Q38" s="120">
        <v>0</v>
      </c>
      <c r="S38" s="94"/>
      <c r="T38" s="94"/>
    </row>
    <row r="39" spans="1:27" x14ac:dyDescent="0.35">
      <c r="A39" s="100" t="s">
        <v>14</v>
      </c>
      <c r="B39" s="34">
        <v>58.5</v>
      </c>
      <c r="C39" s="112">
        <v>7</v>
      </c>
      <c r="D39" s="19">
        <v>600000</v>
      </c>
      <c r="E39" s="13">
        <v>0.39376099993481467</v>
      </c>
      <c r="F39" s="26">
        <v>236256.59996088879</v>
      </c>
      <c r="G39" s="19">
        <v>236256.59996088879</v>
      </c>
      <c r="H39" s="120">
        <v>0</v>
      </c>
      <c r="I39" s="94"/>
      <c r="J39" s="100" t="s">
        <v>18</v>
      </c>
      <c r="K39" s="18">
        <v>0.59</v>
      </c>
      <c r="L39" s="112">
        <v>7</v>
      </c>
      <c r="M39" s="19">
        <v>450000</v>
      </c>
      <c r="N39" s="125">
        <v>0.33026392961876821</v>
      </c>
      <c r="O39" s="19">
        <v>148618.7683284457</v>
      </c>
      <c r="P39" s="26">
        <v>148618.7683284457</v>
      </c>
      <c r="Q39" s="120">
        <v>0</v>
      </c>
      <c r="S39" s="94"/>
      <c r="T39" s="94"/>
    </row>
    <row r="40" spans="1:27" x14ac:dyDescent="0.35">
      <c r="A40" s="95" t="s">
        <v>19</v>
      </c>
      <c r="B40" s="35">
        <v>57.75</v>
      </c>
      <c r="C40" s="115"/>
      <c r="D40" s="30">
        <v>3525000</v>
      </c>
      <c r="E40" s="31">
        <v>0.99999999999999867</v>
      </c>
      <c r="F40" s="121">
        <v>3524999.9999999953</v>
      </c>
      <c r="G40" s="117">
        <v>2809726.1831040983</v>
      </c>
      <c r="H40" s="118">
        <v>715273.81689589715</v>
      </c>
      <c r="I40" s="94"/>
      <c r="J40" s="95" t="s">
        <v>19</v>
      </c>
      <c r="K40" s="29">
        <v>0.6418571428571429</v>
      </c>
      <c r="L40" s="115"/>
      <c r="M40" s="30">
        <v>3525000</v>
      </c>
      <c r="N40" s="31">
        <v>0.99999999999999989</v>
      </c>
      <c r="O40" s="117">
        <v>3524999.9999999995</v>
      </c>
      <c r="P40" s="117">
        <v>2820884.1642228737</v>
      </c>
      <c r="Q40" s="118">
        <v>704115.83577712602</v>
      </c>
      <c r="S40" s="94"/>
      <c r="T40" s="94"/>
    </row>
    <row r="41" spans="1:27" x14ac:dyDescent="0.35">
      <c r="A41" s="112" t="s">
        <v>20</v>
      </c>
      <c r="B41" s="127">
        <v>58</v>
      </c>
      <c r="C41" s="112"/>
      <c r="D41" s="33"/>
      <c r="E41" s="9"/>
      <c r="F41" s="94"/>
      <c r="G41" s="94"/>
      <c r="H41" s="94"/>
      <c r="I41" s="94"/>
      <c r="J41" s="112" t="s">
        <v>20</v>
      </c>
      <c r="K41" s="32">
        <v>0.6</v>
      </c>
      <c r="L41" s="112"/>
      <c r="M41" s="33"/>
      <c r="N41" s="9"/>
      <c r="Q41" s="112"/>
      <c r="R41" s="32"/>
      <c r="S41" s="94"/>
      <c r="T41" s="94"/>
      <c r="AA41" s="32"/>
    </row>
    <row r="42" spans="1:27" x14ac:dyDescent="0.35">
      <c r="B42" s="128"/>
      <c r="C42" s="112"/>
      <c r="D42" s="33"/>
      <c r="E42" s="9"/>
      <c r="F42" s="94"/>
      <c r="G42" s="94"/>
      <c r="H42" s="94"/>
      <c r="I42" s="94"/>
      <c r="J42" s="112"/>
      <c r="K42" s="32"/>
      <c r="L42" s="112"/>
      <c r="M42" s="33"/>
      <c r="N42" s="9"/>
      <c r="Q42" s="112"/>
      <c r="R42" s="32"/>
      <c r="S42" s="94"/>
      <c r="T42" s="94"/>
      <c r="AA42" s="32"/>
    </row>
    <row r="43" spans="1:27" x14ac:dyDescent="0.35">
      <c r="A43" s="350" t="s">
        <v>36</v>
      </c>
      <c r="B43" s="351"/>
      <c r="C43" s="351"/>
      <c r="D43" s="351"/>
      <c r="E43" s="351"/>
      <c r="F43" s="351"/>
      <c r="G43" s="351"/>
      <c r="H43" s="352"/>
      <c r="I43" s="94"/>
      <c r="J43" s="350" t="s">
        <v>39</v>
      </c>
      <c r="K43" s="351"/>
      <c r="L43" s="351"/>
      <c r="M43" s="351"/>
      <c r="N43" s="351"/>
      <c r="O43" s="351"/>
      <c r="P43" s="351"/>
      <c r="Q43" s="352"/>
      <c r="S43" s="94"/>
      <c r="T43" s="94"/>
    </row>
    <row r="44" spans="1:27" x14ac:dyDescent="0.35">
      <c r="A44" s="100" t="s">
        <v>7</v>
      </c>
      <c r="B44" s="101"/>
      <c r="C44" s="86"/>
      <c r="D44" s="102">
        <v>0.15</v>
      </c>
      <c r="E44" s="103" t="s">
        <v>8</v>
      </c>
      <c r="F44" s="104">
        <v>1.4340836012861737</v>
      </c>
      <c r="G44" s="105"/>
      <c r="H44" s="106"/>
      <c r="I44" s="94"/>
      <c r="J44" s="100" t="s">
        <v>7</v>
      </c>
      <c r="K44" s="101"/>
      <c r="L44" s="86"/>
      <c r="M44" s="102">
        <v>0.1</v>
      </c>
      <c r="N44" s="103" t="s">
        <v>8</v>
      </c>
      <c r="O44" s="104">
        <v>1.3586337760910818</v>
      </c>
      <c r="P44" s="105"/>
      <c r="Q44" s="106"/>
      <c r="S44" s="94"/>
      <c r="T44" s="94"/>
      <c r="Z44" s="114"/>
    </row>
    <row r="45" spans="1:27" ht="46.5" x14ac:dyDescent="0.35">
      <c r="A45" s="108" t="s">
        <v>3</v>
      </c>
      <c r="B45" s="109" t="s">
        <v>10</v>
      </c>
      <c r="C45" s="109" t="s">
        <v>5</v>
      </c>
      <c r="D45" s="14" t="s">
        <v>21</v>
      </c>
      <c r="E45" s="15" t="s">
        <v>11</v>
      </c>
      <c r="F45" s="129" t="s">
        <v>22</v>
      </c>
      <c r="G45" s="109" t="s">
        <v>23</v>
      </c>
      <c r="H45" s="110" t="s">
        <v>12</v>
      </c>
      <c r="I45" s="94"/>
      <c r="J45" s="108" t="s">
        <v>3</v>
      </c>
      <c r="K45" s="109" t="s">
        <v>10</v>
      </c>
      <c r="L45" s="109" t="s">
        <v>5</v>
      </c>
      <c r="M45" s="14" t="s">
        <v>21</v>
      </c>
      <c r="N45" s="15" t="s">
        <v>11</v>
      </c>
      <c r="O45" s="109" t="s">
        <v>22</v>
      </c>
      <c r="P45" s="109" t="s">
        <v>23</v>
      </c>
      <c r="Q45" s="110" t="s">
        <v>12</v>
      </c>
      <c r="S45" s="94"/>
      <c r="T45" s="94"/>
      <c r="Z45" s="111"/>
    </row>
    <row r="46" spans="1:27" x14ac:dyDescent="0.35">
      <c r="A46" s="100" t="s">
        <v>17</v>
      </c>
      <c r="B46" s="18">
        <v>0.76</v>
      </c>
      <c r="C46" s="112">
        <v>1</v>
      </c>
      <c r="D46" s="19">
        <v>75000</v>
      </c>
      <c r="E46" s="13">
        <v>2.5417280365107362</v>
      </c>
      <c r="F46" s="20">
        <v>190629.6027383052</v>
      </c>
      <c r="G46" s="20">
        <v>75000</v>
      </c>
      <c r="H46" s="21">
        <v>115629.6027383052</v>
      </c>
      <c r="I46" s="94"/>
      <c r="J46" s="100" t="s">
        <v>9</v>
      </c>
      <c r="K46" s="18">
        <v>0.86799999999999999</v>
      </c>
      <c r="L46" s="112">
        <v>1</v>
      </c>
      <c r="M46" s="19">
        <v>200000</v>
      </c>
      <c r="N46" s="126">
        <v>1.8297533206831125</v>
      </c>
      <c r="O46" s="19">
        <v>365950.66413662251</v>
      </c>
      <c r="P46" s="20">
        <v>200000</v>
      </c>
      <c r="Q46" s="21">
        <v>165950.66413662251</v>
      </c>
      <c r="S46" s="94"/>
      <c r="T46" s="94"/>
    </row>
    <row r="47" spans="1:27" x14ac:dyDescent="0.35">
      <c r="A47" s="100" t="s">
        <v>9</v>
      </c>
      <c r="B47" s="18">
        <v>0.65100000000000002</v>
      </c>
      <c r="C47" s="112">
        <v>2</v>
      </c>
      <c r="D47" s="19">
        <v>300000</v>
      </c>
      <c r="E47" s="13">
        <v>1.7752947481243304</v>
      </c>
      <c r="F47" s="19">
        <v>532588.42443729914</v>
      </c>
      <c r="G47" s="19">
        <v>300000</v>
      </c>
      <c r="H47" s="22">
        <v>232588.42443729914</v>
      </c>
      <c r="I47" s="94"/>
      <c r="J47" s="100" t="s">
        <v>13</v>
      </c>
      <c r="K47" s="18">
        <v>0.86099999999999999</v>
      </c>
      <c r="L47" s="112">
        <v>2</v>
      </c>
      <c r="M47" s="19">
        <v>500000</v>
      </c>
      <c r="N47" s="28">
        <v>1.5786084756483243</v>
      </c>
      <c r="O47" s="19">
        <v>789304.23782416212</v>
      </c>
      <c r="P47" s="19">
        <v>500000</v>
      </c>
      <c r="Q47" s="22">
        <v>289304.23782416212</v>
      </c>
      <c r="S47" s="94"/>
      <c r="T47" s="94"/>
    </row>
    <row r="48" spans="1:27" x14ac:dyDescent="0.35">
      <c r="A48" s="100" t="s">
        <v>14</v>
      </c>
      <c r="B48" s="18">
        <v>0.64900000000000002</v>
      </c>
      <c r="C48" s="112">
        <v>3</v>
      </c>
      <c r="D48" s="19">
        <v>600000</v>
      </c>
      <c r="E48" s="13">
        <v>1.5266033952217959</v>
      </c>
      <c r="F48" s="19">
        <v>915962.03713307751</v>
      </c>
      <c r="G48" s="19">
        <v>600000</v>
      </c>
      <c r="H48" s="22">
        <v>315962.03713307751</v>
      </c>
      <c r="I48" s="94"/>
      <c r="J48" s="100" t="s">
        <v>17</v>
      </c>
      <c r="K48" s="18">
        <v>0.85799999999999998</v>
      </c>
      <c r="L48" s="112">
        <v>3</v>
      </c>
      <c r="M48" s="19">
        <v>50000</v>
      </c>
      <c r="N48" s="28">
        <v>1.3415812776723595</v>
      </c>
      <c r="O48" s="19">
        <v>67079.063883617971</v>
      </c>
      <c r="P48" s="19">
        <v>50000</v>
      </c>
      <c r="Q48" s="22">
        <v>17079.063883617971</v>
      </c>
      <c r="S48" s="94"/>
      <c r="T48" s="94"/>
    </row>
    <row r="49" spans="1:25" x14ac:dyDescent="0.35">
      <c r="A49" s="100" t="s">
        <v>13</v>
      </c>
      <c r="B49" s="18">
        <v>0.62</v>
      </c>
      <c r="C49" s="112">
        <v>4</v>
      </c>
      <c r="D49" s="19">
        <v>750000</v>
      </c>
      <c r="E49" s="13">
        <v>1.1472668810289388</v>
      </c>
      <c r="F49" s="19">
        <v>860450.16077170416</v>
      </c>
      <c r="G49" s="19">
        <v>750000</v>
      </c>
      <c r="H49" s="23">
        <v>110450.16077170416</v>
      </c>
      <c r="I49" s="94"/>
      <c r="J49" s="100" t="s">
        <v>15</v>
      </c>
      <c r="K49" s="18">
        <v>0.84499999999999997</v>
      </c>
      <c r="L49" s="112">
        <v>4</v>
      </c>
      <c r="M49" s="19">
        <v>200000</v>
      </c>
      <c r="N49" s="28">
        <v>1.0869070208728655</v>
      </c>
      <c r="O49" s="19">
        <v>217381.40417457311</v>
      </c>
      <c r="P49" s="19">
        <v>200000</v>
      </c>
      <c r="Q49" s="23">
        <v>17381.404174573108</v>
      </c>
      <c r="S49" s="94"/>
      <c r="T49" s="94"/>
    </row>
    <row r="50" spans="1:25" x14ac:dyDescent="0.35">
      <c r="A50" s="100" t="s">
        <v>15</v>
      </c>
      <c r="B50" s="18">
        <v>0.57099999999999995</v>
      </c>
      <c r="C50" s="112">
        <v>5</v>
      </c>
      <c r="D50" s="19">
        <v>300000</v>
      </c>
      <c r="E50" s="13">
        <v>0.90825294748124341</v>
      </c>
      <c r="F50" s="19">
        <v>272475.88424437301</v>
      </c>
      <c r="G50" s="19">
        <v>272475.88424437301</v>
      </c>
      <c r="H50" s="120">
        <v>0</v>
      </c>
      <c r="I50" s="94"/>
      <c r="J50" s="100" t="s">
        <v>14</v>
      </c>
      <c r="K50" s="18">
        <v>0.83699999999999997</v>
      </c>
      <c r="L50" s="112">
        <v>5</v>
      </c>
      <c r="M50" s="19">
        <v>400000</v>
      </c>
      <c r="N50" s="28">
        <v>0.86046805819101846</v>
      </c>
      <c r="O50" s="19">
        <v>344187.2232764074</v>
      </c>
      <c r="P50" s="19">
        <v>344187.2232764074</v>
      </c>
      <c r="Q50" s="120">
        <v>0</v>
      </c>
      <c r="S50" s="94"/>
      <c r="T50" s="94"/>
    </row>
    <row r="51" spans="1:25" x14ac:dyDescent="0.35">
      <c r="A51" s="100" t="s">
        <v>18</v>
      </c>
      <c r="B51" s="18">
        <v>0.52600000000000002</v>
      </c>
      <c r="C51" s="112">
        <v>6</v>
      </c>
      <c r="D51" s="19">
        <v>450000</v>
      </c>
      <c r="E51" s="13">
        <v>0.66923901393354779</v>
      </c>
      <c r="F51" s="19">
        <v>301157.55627009651</v>
      </c>
      <c r="G51" s="19">
        <v>301157.55627009651</v>
      </c>
      <c r="H51" s="120">
        <v>0</v>
      </c>
      <c r="I51" s="94"/>
      <c r="J51" s="100" t="s">
        <v>16</v>
      </c>
      <c r="K51" s="18">
        <v>0.83399999999999996</v>
      </c>
      <c r="L51" s="112">
        <v>6</v>
      </c>
      <c r="M51" s="19">
        <v>700000</v>
      </c>
      <c r="N51" s="28">
        <v>0.63402909550917153</v>
      </c>
      <c r="O51" s="19">
        <v>443820.36685642006</v>
      </c>
      <c r="P51" s="19">
        <v>443820.36685642006</v>
      </c>
      <c r="Q51" s="120">
        <v>0</v>
      </c>
      <c r="S51" s="94"/>
      <c r="T51" s="94"/>
    </row>
    <row r="52" spans="1:25" x14ac:dyDescent="0.35">
      <c r="A52" s="100" t="s">
        <v>16</v>
      </c>
      <c r="B52" s="18">
        <v>0.441</v>
      </c>
      <c r="C52" s="112">
        <v>7</v>
      </c>
      <c r="D52" s="19">
        <v>1050000</v>
      </c>
      <c r="E52" s="13">
        <v>0.43022508038585211</v>
      </c>
      <c r="F52" s="19">
        <v>451736.33440514473</v>
      </c>
      <c r="G52" s="26">
        <v>451736.33440514473</v>
      </c>
      <c r="H52" s="120">
        <v>0</v>
      </c>
      <c r="J52" s="100" t="s">
        <v>18</v>
      </c>
      <c r="K52" s="18">
        <v>0.79</v>
      </c>
      <c r="L52" s="112">
        <v>7</v>
      </c>
      <c r="M52" s="19">
        <v>300000</v>
      </c>
      <c r="N52" s="125">
        <v>0.40759013282732454</v>
      </c>
      <c r="O52" s="19">
        <v>122277.03984819737</v>
      </c>
      <c r="P52" s="26">
        <v>122277.03984819737</v>
      </c>
      <c r="Q52" s="120">
        <v>0</v>
      </c>
      <c r="S52" s="94"/>
      <c r="T52" s="94"/>
      <c r="Y52" s="33"/>
    </row>
    <row r="53" spans="1:25" x14ac:dyDescent="0.35">
      <c r="A53" s="95" t="s">
        <v>19</v>
      </c>
      <c r="B53" s="29">
        <v>0.60257142857142854</v>
      </c>
      <c r="C53" s="115"/>
      <c r="D53" s="30">
        <v>3525000</v>
      </c>
      <c r="E53" s="31">
        <v>1.0000000000000002</v>
      </c>
      <c r="F53" s="117">
        <v>3525000.0000000005</v>
      </c>
      <c r="G53" s="117">
        <v>2750369.7749196142</v>
      </c>
      <c r="H53" s="118">
        <v>774630.22508038604</v>
      </c>
      <c r="J53" s="95" t="s">
        <v>19</v>
      </c>
      <c r="K53" s="29">
        <v>0.84185714285714286</v>
      </c>
      <c r="L53" s="115"/>
      <c r="M53" s="30">
        <v>2350000</v>
      </c>
      <c r="N53" s="31">
        <v>1.0000000000000002</v>
      </c>
      <c r="O53" s="117">
        <v>2350000.0000000005</v>
      </c>
      <c r="P53" s="117">
        <v>1860284.6299810247</v>
      </c>
      <c r="Q53" s="118">
        <v>489715.37001897569</v>
      </c>
    </row>
    <row r="54" spans="1:25" x14ac:dyDescent="0.35">
      <c r="A54" s="112" t="s">
        <v>20</v>
      </c>
      <c r="B54" s="32">
        <v>0.62</v>
      </c>
      <c r="J54" s="112" t="s">
        <v>20</v>
      </c>
      <c r="K54" s="32">
        <v>0.85</v>
      </c>
    </row>
    <row r="55" spans="1:25" s="133" customFormat="1" x14ac:dyDescent="0.35"/>
    <row r="56" spans="1:25" x14ac:dyDescent="0.35">
      <c r="C56" s="112" t="s">
        <v>25</v>
      </c>
    </row>
    <row r="57" spans="1:25" x14ac:dyDescent="0.35">
      <c r="C57" s="101"/>
    </row>
    <row r="62" spans="1:25" x14ac:dyDescent="0.35">
      <c r="A62" s="94"/>
      <c r="B62" s="94"/>
      <c r="C62" s="94"/>
      <c r="D62" s="94"/>
      <c r="E62" s="94"/>
      <c r="J62" s="94"/>
      <c r="K62" s="94"/>
    </row>
    <row r="63" spans="1:25" x14ac:dyDescent="0.35">
      <c r="A63" s="94"/>
      <c r="B63" s="94"/>
      <c r="C63" s="94"/>
      <c r="D63" s="94"/>
      <c r="E63" s="94"/>
      <c r="J63" s="94"/>
      <c r="K63" s="94"/>
    </row>
    <row r="64" spans="1:25" x14ac:dyDescent="0.35">
      <c r="A64" s="94"/>
      <c r="B64" s="94"/>
      <c r="C64" s="94"/>
      <c r="D64" s="94"/>
      <c r="E64" s="94"/>
      <c r="J64" s="94"/>
      <c r="K64" s="94"/>
    </row>
    <row r="65" spans="1:11" x14ac:dyDescent="0.35">
      <c r="A65" s="94"/>
      <c r="B65" s="94"/>
      <c r="C65" s="94"/>
      <c r="D65" s="94"/>
      <c r="E65" s="94"/>
      <c r="J65" s="94"/>
      <c r="K65" s="94"/>
    </row>
    <row r="66" spans="1:11" x14ac:dyDescent="0.35">
      <c r="A66" s="94"/>
      <c r="B66" s="94"/>
      <c r="C66" s="94"/>
      <c r="D66" s="94"/>
      <c r="E66" s="94"/>
      <c r="J66" s="94"/>
      <c r="K66" s="94"/>
    </row>
    <row r="67" spans="1:11" x14ac:dyDescent="0.35">
      <c r="A67" s="94"/>
      <c r="B67" s="94"/>
      <c r="C67" s="94"/>
      <c r="D67" s="94"/>
      <c r="E67" s="94"/>
      <c r="J67" s="94"/>
      <c r="K67" s="94"/>
    </row>
    <row r="68" spans="1:11" x14ac:dyDescent="0.35">
      <c r="A68" s="94"/>
      <c r="B68" s="94"/>
      <c r="C68" s="94"/>
      <c r="D68" s="94"/>
      <c r="E68" s="94"/>
      <c r="J68" s="94"/>
      <c r="K68" s="94"/>
    </row>
    <row r="69" spans="1:11" x14ac:dyDescent="0.35">
      <c r="A69" s="94"/>
      <c r="B69" s="94"/>
      <c r="C69" s="94"/>
      <c r="D69" s="94"/>
      <c r="E69" s="94"/>
      <c r="J69" s="94"/>
      <c r="K69" s="94"/>
    </row>
    <row r="70" spans="1:11" x14ac:dyDescent="0.35">
      <c r="A70" s="94"/>
      <c r="B70" s="94"/>
      <c r="C70" s="94"/>
      <c r="D70" s="94"/>
      <c r="E70" s="94"/>
      <c r="I70" s="111"/>
      <c r="J70" s="94"/>
      <c r="K70" s="94"/>
    </row>
    <row r="71" spans="1:11" x14ac:dyDescent="0.35">
      <c r="A71" s="94"/>
      <c r="B71" s="94"/>
      <c r="C71" s="94"/>
      <c r="D71" s="94"/>
      <c r="E71" s="94"/>
      <c r="J71" s="94"/>
      <c r="K71" s="94"/>
    </row>
    <row r="72" spans="1:11" x14ac:dyDescent="0.35">
      <c r="A72" s="94"/>
      <c r="B72" s="94"/>
      <c r="C72" s="94"/>
      <c r="D72" s="94"/>
      <c r="E72" s="94"/>
      <c r="J72" s="94"/>
      <c r="K72" s="94"/>
    </row>
    <row r="73" spans="1:11" x14ac:dyDescent="0.35">
      <c r="A73" s="94"/>
      <c r="B73" s="94"/>
      <c r="C73" s="94"/>
      <c r="D73" s="94"/>
      <c r="E73" s="94"/>
      <c r="J73" s="94"/>
      <c r="K73" s="94"/>
    </row>
    <row r="74" spans="1:11" x14ac:dyDescent="0.35">
      <c r="A74" s="94"/>
      <c r="B74" s="94"/>
      <c r="C74" s="94"/>
      <c r="D74" s="94"/>
      <c r="E74" s="94"/>
      <c r="J74" s="94"/>
      <c r="K74" s="94"/>
    </row>
    <row r="75" spans="1:11" x14ac:dyDescent="0.35">
      <c r="A75" s="94"/>
      <c r="B75" s="94"/>
      <c r="C75" s="94"/>
      <c r="D75" s="94"/>
      <c r="E75" s="94"/>
      <c r="J75" s="94"/>
      <c r="K75" s="94"/>
    </row>
    <row r="76" spans="1:11" x14ac:dyDescent="0.35">
      <c r="A76" s="94"/>
      <c r="B76" s="94"/>
      <c r="C76" s="94"/>
      <c r="D76" s="94"/>
      <c r="E76" s="94"/>
      <c r="J76" s="94"/>
      <c r="K76" s="94"/>
    </row>
    <row r="77" spans="1:11" x14ac:dyDescent="0.35">
      <c r="A77" s="94"/>
      <c r="B77" s="94"/>
      <c r="C77" s="94"/>
      <c r="D77" s="94"/>
      <c r="E77" s="94"/>
      <c r="J77" s="94"/>
      <c r="K77" s="94"/>
    </row>
    <row r="78" spans="1:11" x14ac:dyDescent="0.35">
      <c r="A78" s="94"/>
      <c r="B78" s="94"/>
      <c r="C78" s="94"/>
      <c r="D78" s="94"/>
      <c r="E78" s="94"/>
      <c r="J78" s="94"/>
      <c r="K78" s="94"/>
    </row>
    <row r="79" spans="1:11" x14ac:dyDescent="0.35">
      <c r="A79" s="94"/>
      <c r="B79" s="94"/>
      <c r="C79" s="94"/>
      <c r="D79" s="94"/>
      <c r="E79" s="94"/>
      <c r="J79" s="94"/>
      <c r="K79" s="94"/>
    </row>
    <row r="80" spans="1:11" x14ac:dyDescent="0.35">
      <c r="A80" s="94"/>
      <c r="B80" s="94"/>
      <c r="C80" s="94"/>
      <c r="D80" s="94"/>
      <c r="E80" s="94"/>
      <c r="J80" s="94"/>
      <c r="K80" s="94"/>
    </row>
    <row r="81" spans="1:17" x14ac:dyDescent="0.35">
      <c r="A81" s="94"/>
      <c r="B81" s="94"/>
      <c r="C81" s="94"/>
      <c r="D81" s="94"/>
      <c r="E81" s="94"/>
      <c r="J81" s="94"/>
      <c r="K81" s="94"/>
    </row>
    <row r="82" spans="1:17" x14ac:dyDescent="0.35">
      <c r="A82" s="94"/>
      <c r="B82" s="94"/>
      <c r="C82" s="94"/>
      <c r="D82" s="94"/>
      <c r="E82" s="94"/>
      <c r="J82" s="94"/>
      <c r="K82" s="94"/>
    </row>
    <row r="83" spans="1:17" x14ac:dyDescent="0.35">
      <c r="A83" s="94"/>
      <c r="B83" s="94"/>
      <c r="C83" s="94"/>
      <c r="D83" s="94"/>
      <c r="E83" s="94"/>
      <c r="J83" s="94"/>
      <c r="K83" s="94"/>
      <c r="Q83" s="114"/>
    </row>
    <row r="84" spans="1:17" x14ac:dyDescent="0.35">
      <c r="A84" s="94"/>
      <c r="B84" s="94"/>
      <c r="C84" s="94"/>
      <c r="D84" s="94"/>
      <c r="E84" s="94"/>
      <c r="J84" s="94"/>
      <c r="K84" s="94"/>
      <c r="Q84" s="111"/>
    </row>
    <row r="85" spans="1:17" x14ac:dyDescent="0.35">
      <c r="A85" s="94"/>
      <c r="B85" s="94"/>
      <c r="C85" s="94"/>
      <c r="D85" s="94"/>
      <c r="E85" s="94"/>
      <c r="J85" s="94"/>
      <c r="K85" s="94"/>
    </row>
    <row r="86" spans="1:17" x14ac:dyDescent="0.35">
      <c r="A86" s="94"/>
      <c r="B86" s="94"/>
      <c r="C86" s="94"/>
      <c r="D86" s="94"/>
      <c r="E86" s="94"/>
      <c r="J86" s="94"/>
      <c r="K86" s="94"/>
    </row>
    <row r="87" spans="1:17" x14ac:dyDescent="0.35">
      <c r="A87" s="94"/>
      <c r="B87" s="94"/>
      <c r="C87" s="94"/>
      <c r="D87" s="94"/>
      <c r="E87" s="94"/>
      <c r="J87" s="94"/>
      <c r="K87" s="94"/>
    </row>
    <row r="88" spans="1:17" x14ac:dyDescent="0.35">
      <c r="A88" s="94"/>
      <c r="B88" s="94"/>
      <c r="C88" s="94"/>
      <c r="D88" s="94"/>
      <c r="E88" s="94"/>
      <c r="J88" s="94"/>
      <c r="K88" s="94"/>
    </row>
    <row r="89" spans="1:17" x14ac:dyDescent="0.35">
      <c r="A89" s="94"/>
      <c r="B89" s="94"/>
      <c r="C89" s="94"/>
      <c r="D89" s="94"/>
      <c r="E89" s="94"/>
      <c r="J89" s="94"/>
      <c r="K89" s="94"/>
    </row>
    <row r="90" spans="1:17" x14ac:dyDescent="0.35">
      <c r="A90" s="94"/>
      <c r="B90" s="94"/>
      <c r="C90" s="94"/>
      <c r="D90" s="94"/>
      <c r="E90" s="94"/>
      <c r="J90" s="94"/>
      <c r="K90" s="94"/>
    </row>
    <row r="91" spans="1:17" x14ac:dyDescent="0.35">
      <c r="A91" s="94"/>
      <c r="B91" s="94"/>
      <c r="C91" s="94"/>
      <c r="D91" s="94"/>
      <c r="E91" s="94"/>
      <c r="J91" s="94"/>
      <c r="K91" s="94"/>
      <c r="P91" s="33"/>
    </row>
  </sheetData>
  <mergeCells count="15">
    <mergeCell ref="B13:C13"/>
    <mergeCell ref="B12:C12"/>
    <mergeCell ref="A43:H43"/>
    <mergeCell ref="J43:Q43"/>
    <mergeCell ref="A17:H17"/>
    <mergeCell ref="J17:Q17"/>
    <mergeCell ref="A30:H30"/>
    <mergeCell ref="J30:Q30"/>
    <mergeCell ref="B11:C11"/>
    <mergeCell ref="B5:C5"/>
    <mergeCell ref="B6:C6"/>
    <mergeCell ref="B7:C7"/>
    <mergeCell ref="B8:C8"/>
    <mergeCell ref="B9:C9"/>
    <mergeCell ref="B10:C10"/>
  </mergeCells>
  <phoneticPr fontId="7" type="noConversion"/>
  <pageMargins left="0.7" right="0.7" top="0.75" bottom="0.75" header="0.3" footer="0.3"/>
  <pageSetup scale="39" orientation="landscape" r:id="rId1"/>
  <headerFooter>
    <oddHeader xml:space="preserve">&amp;L&amp;G&amp;C&amp;"Times New Roman,Bold"&amp;12ACOM Policy 306, Attachment B - 
APM Quality Performance Measure Scores - ACC
For the Contract Year Ending 09/30/20
&amp;K000000
</oddHeader>
    <oddFooter>&amp;L&amp;"Times New Roman,Bold"Effective Dates: 10/01/17, 10/01/18, 10/01/19, 10/01/20, 09/30/22
Approval Dates: 09/05/19, 09/29/20, 04/13/21, 10/06/22&amp;C&amp;"Times New Roman,Bold"&amp;12 306, Attachment B - 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7E3B-660D-42DD-8B12-5C91CF6E1D8E}">
  <sheetPr>
    <pageSetUpPr fitToPage="1"/>
  </sheetPr>
  <dimension ref="A1:S83"/>
  <sheetViews>
    <sheetView view="pageLayout" zoomScale="175" zoomScaleNormal="100" zoomScalePageLayoutView="175" workbookViewId="0">
      <selection activeCell="A2" sqref="A2"/>
    </sheetView>
  </sheetViews>
  <sheetFormatPr defaultColWidth="9.1796875" defaultRowHeight="13" x14ac:dyDescent="0.3"/>
  <cols>
    <col min="1" max="1" width="24.54296875" style="215" customWidth="1"/>
    <col min="2" max="2" width="9.81640625" style="215" customWidth="1"/>
    <col min="3" max="3" width="9.453125" style="216" customWidth="1"/>
    <col min="4" max="4" width="12.26953125" style="217" bestFit="1" customWidth="1"/>
    <col min="5" max="5" width="17.7265625" style="218" bestFit="1" customWidth="1"/>
    <col min="6" max="6" width="20" style="218" customWidth="1"/>
    <col min="7" max="7" width="21.26953125" style="218" bestFit="1" customWidth="1"/>
    <col min="8" max="8" width="19" style="219" bestFit="1" customWidth="1"/>
    <col min="9" max="9" width="12" style="219" customWidth="1"/>
    <col min="10" max="10" width="13" style="219" bestFit="1" customWidth="1"/>
    <col min="11" max="11" width="4.26953125" style="219" customWidth="1"/>
    <col min="12" max="12" width="20.81640625" style="210" customWidth="1"/>
    <col min="13" max="13" width="9.1796875" style="210"/>
    <col min="14" max="14" width="9.26953125" style="219" customWidth="1"/>
    <col min="15" max="15" width="12.1796875" style="219" customWidth="1"/>
    <col min="16" max="16" width="9.26953125" style="219" customWidth="1"/>
    <col min="17" max="17" width="17.1796875" style="219" bestFit="1" customWidth="1"/>
    <col min="18" max="18" width="15.54296875" style="219" bestFit="1" customWidth="1"/>
    <col min="19" max="19" width="11.453125" style="219" customWidth="1"/>
    <col min="20" max="20" width="11.26953125" style="219" customWidth="1"/>
    <col min="21" max="21" width="9.1796875" style="219"/>
    <col min="22" max="22" width="11.1796875" style="219" customWidth="1"/>
    <col min="23" max="16384" width="9.1796875" style="219"/>
  </cols>
  <sheetData>
    <row r="1" spans="1:19" ht="15" x14ac:dyDescent="0.3">
      <c r="A1" s="214" t="s">
        <v>0</v>
      </c>
      <c r="N1" s="2"/>
    </row>
    <row r="2" spans="1:19" ht="15" x14ac:dyDescent="0.3">
      <c r="N2" s="2"/>
    </row>
    <row r="3" spans="1:19" ht="15" x14ac:dyDescent="0.3">
      <c r="A3" s="3" t="s">
        <v>28</v>
      </c>
      <c r="B3" s="4"/>
      <c r="C3" s="5">
        <v>0.01</v>
      </c>
      <c r="E3" s="214" t="s">
        <v>29</v>
      </c>
      <c r="F3" s="220">
        <v>3</v>
      </c>
      <c r="G3" s="2"/>
      <c r="L3" s="219"/>
      <c r="M3" s="219"/>
    </row>
    <row r="4" spans="1:19" x14ac:dyDescent="0.3">
      <c r="E4" s="221"/>
      <c r="F4" s="221"/>
      <c r="G4" s="221"/>
    </row>
    <row r="5" spans="1:19" x14ac:dyDescent="0.3">
      <c r="A5" s="222" t="s">
        <v>3</v>
      </c>
      <c r="B5" s="358" t="s">
        <v>4</v>
      </c>
      <c r="C5" s="359"/>
      <c r="E5" s="223" t="s">
        <v>5</v>
      </c>
      <c r="F5" s="224" t="s">
        <v>6</v>
      </c>
      <c r="G5" s="225"/>
      <c r="H5" s="225"/>
      <c r="J5" s="210"/>
      <c r="K5" s="210"/>
      <c r="L5" s="219"/>
      <c r="M5" s="219"/>
    </row>
    <row r="6" spans="1:19" x14ac:dyDescent="0.3">
      <c r="A6" s="226" t="s">
        <v>9</v>
      </c>
      <c r="B6" s="356">
        <v>2500000</v>
      </c>
      <c r="C6" s="357"/>
      <c r="D6" s="227"/>
      <c r="E6" s="228">
        <v>1</v>
      </c>
      <c r="F6" s="229">
        <v>1.3</v>
      </c>
      <c r="G6" s="230"/>
      <c r="H6" s="230"/>
      <c r="J6" s="210"/>
      <c r="K6" s="210"/>
      <c r="L6" s="219"/>
      <c r="M6" s="219"/>
    </row>
    <row r="7" spans="1:19" x14ac:dyDescent="0.3">
      <c r="A7" s="226" t="s">
        <v>13</v>
      </c>
      <c r="B7" s="356">
        <v>4000000</v>
      </c>
      <c r="C7" s="357"/>
      <c r="D7" s="227"/>
      <c r="E7" s="228">
        <v>2</v>
      </c>
      <c r="F7" s="229">
        <v>0.8</v>
      </c>
      <c r="G7" s="230"/>
      <c r="H7" s="230"/>
      <c r="I7" s="231"/>
      <c r="J7" s="210"/>
      <c r="K7" s="210"/>
      <c r="L7" s="219"/>
      <c r="M7" s="219"/>
    </row>
    <row r="8" spans="1:19" x14ac:dyDescent="0.3">
      <c r="A8" s="232" t="s">
        <v>15</v>
      </c>
      <c r="B8" s="363">
        <v>3500000</v>
      </c>
      <c r="C8" s="364"/>
      <c r="D8" s="227"/>
      <c r="E8" s="233">
        <v>3</v>
      </c>
      <c r="F8" s="234">
        <v>0.3</v>
      </c>
      <c r="G8" s="230"/>
      <c r="H8" s="230"/>
      <c r="J8" s="210"/>
      <c r="K8" s="210"/>
      <c r="L8" s="219"/>
      <c r="M8" s="219"/>
    </row>
    <row r="9" spans="1:19" x14ac:dyDescent="0.3">
      <c r="A9" s="232" t="s">
        <v>19</v>
      </c>
      <c r="B9" s="363">
        <v>10000000</v>
      </c>
      <c r="C9" s="364"/>
      <c r="D9" s="227"/>
      <c r="E9" s="235"/>
      <c r="F9" s="235"/>
      <c r="G9" s="235"/>
      <c r="H9" s="236"/>
      <c r="I9" s="236"/>
      <c r="J9" s="236"/>
    </row>
    <row r="10" spans="1:19" x14ac:dyDescent="0.3">
      <c r="C10" s="215"/>
      <c r="D10" s="227"/>
      <c r="E10" s="235"/>
      <c r="F10" s="235"/>
      <c r="G10" s="235"/>
      <c r="H10" s="237"/>
      <c r="I10" s="237"/>
      <c r="J10" s="237"/>
    </row>
    <row r="11" spans="1:19" x14ac:dyDescent="0.3">
      <c r="A11" s="360" t="s">
        <v>64</v>
      </c>
      <c r="B11" s="361"/>
      <c r="C11" s="361"/>
      <c r="D11" s="361"/>
      <c r="E11" s="361"/>
      <c r="F11" s="361"/>
      <c r="G11" s="361"/>
      <c r="H11" s="361"/>
      <c r="I11" s="361"/>
      <c r="J11" s="362"/>
      <c r="L11"/>
      <c r="M11"/>
      <c r="N11"/>
      <c r="O11"/>
      <c r="P11"/>
      <c r="Q11"/>
      <c r="R11"/>
      <c r="S11"/>
    </row>
    <row r="12" spans="1:19" ht="15.5" x14ac:dyDescent="0.3">
      <c r="A12" s="232" t="s">
        <v>31</v>
      </c>
      <c r="B12" s="238"/>
      <c r="C12" s="239"/>
      <c r="D12" s="240">
        <v>0.33</v>
      </c>
      <c r="F12" s="241"/>
      <c r="G12" s="241" t="s">
        <v>40</v>
      </c>
      <c r="H12" s="284">
        <v>1.2696204611424502</v>
      </c>
      <c r="I12" s="284"/>
      <c r="J12" s="285"/>
      <c r="L12"/>
      <c r="M12"/>
      <c r="N12"/>
      <c r="O12"/>
      <c r="P12"/>
      <c r="Q12"/>
      <c r="R12"/>
      <c r="S12"/>
    </row>
    <row r="13" spans="1:19" ht="26" x14ac:dyDescent="0.3">
      <c r="A13" s="242" t="s">
        <v>3</v>
      </c>
      <c r="B13" s="243" t="s">
        <v>50</v>
      </c>
      <c r="C13" s="243" t="s">
        <v>5</v>
      </c>
      <c r="D13" s="244" t="s">
        <v>21</v>
      </c>
      <c r="E13" s="303" t="s">
        <v>11</v>
      </c>
      <c r="F13" s="154" t="s">
        <v>47</v>
      </c>
      <c r="G13" s="291" t="s">
        <v>48</v>
      </c>
      <c r="H13" s="246" t="s">
        <v>22</v>
      </c>
      <c r="I13" s="243" t="s">
        <v>23</v>
      </c>
      <c r="J13" s="247" t="s">
        <v>12</v>
      </c>
      <c r="L13"/>
      <c r="M13"/>
      <c r="N13"/>
      <c r="O13"/>
      <c r="P13"/>
      <c r="Q13"/>
      <c r="R13"/>
      <c r="S13"/>
    </row>
    <row r="14" spans="1:19" x14ac:dyDescent="0.3">
      <c r="A14" s="325" t="s">
        <v>15</v>
      </c>
      <c r="B14" s="275">
        <v>0.57999999999999996</v>
      </c>
      <c r="C14" s="249">
        <f>RANK(B14,B14:B16,1)</f>
        <v>1</v>
      </c>
      <c r="D14" s="276">
        <f>VLOOKUP(A14,$A$6:$C$8,2,FALSE)*$D$12</f>
        <v>1155000</v>
      </c>
      <c r="E14" s="305">
        <f>H14/D14</f>
        <v>1.696347006955474</v>
      </c>
      <c r="F14" s="313">
        <f>MAX(D14*$F$3*($B$18-B14)/$B$18,0)</f>
        <v>52945.670628183412</v>
      </c>
      <c r="G14" s="314">
        <f>$H$12*D14*VLOOKUP(C14,E6:F8,2,FALSE)</f>
        <v>1906335.1224053891</v>
      </c>
      <c r="H14" s="314">
        <f>G14+F14</f>
        <v>1959280.7930335726</v>
      </c>
      <c r="I14" s="276">
        <f>IF(H14&gt;D14,D14,H14)</f>
        <v>1155000</v>
      </c>
      <c r="J14" s="316">
        <f>IF(H14&gt;D14,H14-D14,"0")</f>
        <v>804280.79303357261</v>
      </c>
      <c r="L14"/>
      <c r="M14"/>
      <c r="N14"/>
      <c r="O14"/>
      <c r="P14"/>
      <c r="Q14"/>
      <c r="R14"/>
      <c r="S14"/>
    </row>
    <row r="15" spans="1:19" x14ac:dyDescent="0.3">
      <c r="A15" s="226" t="s">
        <v>9</v>
      </c>
      <c r="B15" s="248">
        <v>0.63</v>
      </c>
      <c r="C15" s="215">
        <f>RANK(B15,B14:B16,)</f>
        <v>2</v>
      </c>
      <c r="D15" s="250">
        <f>VLOOKUP(A15,$A$6:$C$8,2,FALSE)*$D$12</f>
        <v>825000</v>
      </c>
      <c r="E15" s="229">
        <f>H15/D15</f>
        <v>1.0156963689139602</v>
      </c>
      <c r="F15" s="188">
        <f>MAX(D15*$F$3*($B$18-B15)/$B$18,0)</f>
        <v>0</v>
      </c>
      <c r="G15" s="251">
        <f>$H$12*D15*VLOOKUP(C15,E6:F8,2,FALSE)</f>
        <v>837949.5043540172</v>
      </c>
      <c r="H15" s="251">
        <f>G15+F15</f>
        <v>837949.5043540172</v>
      </c>
      <c r="I15" s="317">
        <f>IF(H15&gt;D15,D15,H15)</f>
        <v>825000</v>
      </c>
      <c r="J15" s="252">
        <f>IF(H15&gt;D15,H15-D15,"0")</f>
        <v>12949.504354017205</v>
      </c>
      <c r="L15"/>
      <c r="M15"/>
      <c r="N15"/>
      <c r="O15"/>
      <c r="P15"/>
      <c r="Q15"/>
      <c r="R15"/>
      <c r="S15"/>
    </row>
    <row r="16" spans="1:19" x14ac:dyDescent="0.3">
      <c r="A16" s="226" t="s">
        <v>13</v>
      </c>
      <c r="B16" s="248">
        <v>0.65</v>
      </c>
      <c r="C16" s="215">
        <f>RANK(B16,B14:B16,1)</f>
        <v>3</v>
      </c>
      <c r="D16" s="250">
        <f t="shared" ref="D16" si="0">VLOOKUP(A16,$A$6:$C$8,2,FALSE)*$D$12</f>
        <v>1320000</v>
      </c>
      <c r="E16" s="234">
        <f>H16/D16</f>
        <v>0.38088613834273505</v>
      </c>
      <c r="F16" s="188">
        <f>MAX(D16*$F$3*($B$18-B16)/$B$18,0)</f>
        <v>0</v>
      </c>
      <c r="G16" s="251">
        <f>$H$12*D16*VLOOKUP(C16,E6:F8,2,FALSE)</f>
        <v>502769.70261241024</v>
      </c>
      <c r="H16" s="251">
        <f>G16+F16</f>
        <v>502769.70261241024</v>
      </c>
      <c r="I16" s="315">
        <f>IF(H16&gt;D16,D16,H16)</f>
        <v>502769.70261241024</v>
      </c>
      <c r="J16" s="256" t="str">
        <f>IF(H16&gt;D16,H16-D16,"0")</f>
        <v>0</v>
      </c>
      <c r="L16"/>
      <c r="M16"/>
      <c r="N16"/>
      <c r="O16"/>
      <c r="P16"/>
      <c r="Q16"/>
      <c r="R16"/>
      <c r="S16"/>
    </row>
    <row r="17" spans="1:19" s="6" customFormat="1" ht="15.5" x14ac:dyDescent="0.35">
      <c r="A17" s="257" t="s">
        <v>19</v>
      </c>
      <c r="B17" s="258">
        <f>SUM(B14:B16)/3</f>
        <v>0.62</v>
      </c>
      <c r="C17" s="259"/>
      <c r="D17" s="260">
        <f>SUM(D14:D16)</f>
        <v>3300000</v>
      </c>
      <c r="E17" s="254">
        <f>H17/D17</f>
        <v>1</v>
      </c>
      <c r="F17" s="261"/>
      <c r="G17" s="262"/>
      <c r="H17" s="263">
        <f>SUM(H14:H16)</f>
        <v>3300000</v>
      </c>
      <c r="I17" s="264">
        <f>SUM(I14:I16)</f>
        <v>2482769.7026124103</v>
      </c>
      <c r="J17" s="265">
        <f>SUM(J14:J16)</f>
        <v>817230.29738758982</v>
      </c>
      <c r="L17"/>
      <c r="M17"/>
      <c r="N17"/>
      <c r="O17"/>
      <c r="P17"/>
      <c r="Q17"/>
      <c r="R17"/>
      <c r="S17"/>
    </row>
    <row r="18" spans="1:19" ht="15.5" x14ac:dyDescent="0.3">
      <c r="A18" s="215" t="s">
        <v>49</v>
      </c>
      <c r="B18" s="301">
        <v>0.58899999999999997</v>
      </c>
      <c r="C18" s="272"/>
      <c r="D18" s="266"/>
      <c r="E18" s="267"/>
      <c r="F18" s="267"/>
      <c r="G18" s="267"/>
      <c r="H18" s="210"/>
      <c r="I18" s="210"/>
      <c r="J18" s="210"/>
      <c r="K18" s="210"/>
      <c r="L18"/>
      <c r="M18"/>
      <c r="N18"/>
      <c r="O18"/>
      <c r="P18"/>
      <c r="Q18"/>
      <c r="R18"/>
      <c r="S18"/>
    </row>
    <row r="19" spans="1:19" x14ac:dyDescent="0.3">
      <c r="B19" s="268"/>
      <c r="C19" s="215"/>
      <c r="D19" s="266"/>
      <c r="E19" s="267"/>
      <c r="F19" s="267"/>
      <c r="G19" s="267"/>
      <c r="H19" s="210"/>
      <c r="I19" s="210"/>
      <c r="J19" s="210"/>
      <c r="K19" s="210"/>
      <c r="L19"/>
      <c r="M19"/>
      <c r="N19"/>
      <c r="O19"/>
      <c r="P19"/>
      <c r="Q19"/>
      <c r="R19"/>
      <c r="S19"/>
    </row>
    <row r="20" spans="1:19" x14ac:dyDescent="0.3">
      <c r="A20" s="360" t="s">
        <v>65</v>
      </c>
      <c r="B20" s="361"/>
      <c r="C20" s="361"/>
      <c r="D20" s="361"/>
      <c r="E20" s="361"/>
      <c r="F20" s="361"/>
      <c r="G20" s="361"/>
      <c r="H20" s="361"/>
      <c r="I20" s="361"/>
      <c r="J20" s="362"/>
      <c r="K20" s="210"/>
      <c r="L20"/>
      <c r="M20"/>
      <c r="N20"/>
      <c r="O20"/>
      <c r="P20"/>
      <c r="Q20"/>
      <c r="R20"/>
      <c r="S20"/>
    </row>
    <row r="21" spans="1:19" ht="15.5" x14ac:dyDescent="0.3">
      <c r="A21" s="232" t="s">
        <v>31</v>
      </c>
      <c r="B21" s="238"/>
      <c r="C21" s="239"/>
      <c r="D21" s="240">
        <v>0.34</v>
      </c>
      <c r="E21" s="269"/>
      <c r="F21" s="241"/>
      <c r="G21" s="241" t="s">
        <v>40</v>
      </c>
      <c r="H21" s="284">
        <v>0.71197411003236244</v>
      </c>
      <c r="I21" s="284"/>
      <c r="J21" s="285"/>
      <c r="K21" s="210"/>
      <c r="L21"/>
      <c r="M21"/>
      <c r="N21"/>
      <c r="O21"/>
      <c r="P21"/>
      <c r="Q21"/>
      <c r="R21"/>
      <c r="S21"/>
    </row>
    <row r="22" spans="1:19" ht="26" x14ac:dyDescent="0.3">
      <c r="A22" s="242" t="s">
        <v>3</v>
      </c>
      <c r="B22" s="243" t="s">
        <v>50</v>
      </c>
      <c r="C22" s="243" t="s">
        <v>5</v>
      </c>
      <c r="D22" s="244" t="s">
        <v>21</v>
      </c>
      <c r="E22" s="303" t="s">
        <v>11</v>
      </c>
      <c r="F22" s="154" t="s">
        <v>47</v>
      </c>
      <c r="G22" s="291" t="s">
        <v>48</v>
      </c>
      <c r="H22" s="246" t="s">
        <v>22</v>
      </c>
      <c r="I22" s="243" t="s">
        <v>23</v>
      </c>
      <c r="J22" s="247" t="s">
        <v>12</v>
      </c>
      <c r="K22" s="210"/>
      <c r="L22"/>
      <c r="M22"/>
      <c r="N22"/>
      <c r="O22"/>
      <c r="P22"/>
      <c r="Q22"/>
      <c r="R22"/>
      <c r="S22"/>
    </row>
    <row r="23" spans="1:19" x14ac:dyDescent="0.3">
      <c r="A23" s="226" t="s">
        <v>9</v>
      </c>
      <c r="B23" s="248">
        <v>0.21</v>
      </c>
      <c r="C23" s="249">
        <f>RANK(B23,B23:B25,1)</f>
        <v>1</v>
      </c>
      <c r="D23" s="250">
        <f>VLOOKUP(A23,$A$6:$C$8,2,FALSE)*$D$21</f>
        <v>850000.00000000012</v>
      </c>
      <c r="E23" s="229">
        <f>H23/D23</f>
        <v>2.3964401294498381</v>
      </c>
      <c r="F23" s="250">
        <f>MAX(D23*$F$3*($B$27-B23)/$B$27,0)</f>
        <v>1250242.7184466021</v>
      </c>
      <c r="G23" s="251">
        <f>$H$21*D23*VLOOKUP(C23,E6:F8,2,FALSE)</f>
        <v>786731.39158576052</v>
      </c>
      <c r="H23" s="251">
        <f>G23+F23</f>
        <v>2036974.1100323626</v>
      </c>
      <c r="I23" s="250">
        <f>IF(H23&gt;D23,D23,H23)</f>
        <v>850000.00000000012</v>
      </c>
      <c r="J23" s="252">
        <f>IF(H23&gt;D23,H23-D23,"0")</f>
        <v>1186974.1100323624</v>
      </c>
      <c r="K23" s="210"/>
      <c r="L23"/>
      <c r="M23"/>
      <c r="N23"/>
      <c r="O23"/>
      <c r="P23"/>
      <c r="Q23"/>
      <c r="R23"/>
      <c r="S23"/>
    </row>
    <row r="24" spans="1:19" x14ac:dyDescent="0.3">
      <c r="A24" s="226" t="s">
        <v>13</v>
      </c>
      <c r="B24" s="248">
        <v>0.38</v>
      </c>
      <c r="C24" s="215">
        <f>RANK(B24,B23:B25,1)</f>
        <v>2</v>
      </c>
      <c r="D24" s="250">
        <f>VLOOKUP(A24,$A$6:$C$8,2,FALSE)*$D$21</f>
        <v>1360000</v>
      </c>
      <c r="E24" s="229">
        <f>H24/D24</f>
        <v>0.80258899676375384</v>
      </c>
      <c r="F24" s="250">
        <f>MAX(D24*$F$3*($B$27-B24)/$B$27,0)</f>
        <v>316893.20388349489</v>
      </c>
      <c r="G24" s="251">
        <f>$H$21*D24*VLOOKUP(C24,E7:F9,2,FALSE)</f>
        <v>774627.83171521034</v>
      </c>
      <c r="H24" s="251">
        <f>G24+F24</f>
        <v>1091521.0355987053</v>
      </c>
      <c r="I24" s="250">
        <f>IF(H24&gt;D24,D24,H24)</f>
        <v>1091521.0355987053</v>
      </c>
      <c r="J24" s="252" t="str">
        <f>IF(H24&gt;D24,H24-D24,"0")</f>
        <v>0</v>
      </c>
      <c r="K24" s="210"/>
      <c r="L24"/>
      <c r="M24"/>
      <c r="N24"/>
      <c r="O24"/>
      <c r="P24"/>
      <c r="Q24"/>
      <c r="R24"/>
      <c r="S24"/>
    </row>
    <row r="25" spans="1:19" x14ac:dyDescent="0.3">
      <c r="A25" s="226" t="s">
        <v>15</v>
      </c>
      <c r="B25" s="248">
        <v>0.41</v>
      </c>
      <c r="C25" s="253">
        <f>RANK(B25,B23:B25,1)</f>
        <v>3</v>
      </c>
      <c r="D25" s="250">
        <f>VLOOKUP(A25,$A$6:$C$8,2,FALSE)*$D$21</f>
        <v>1190000</v>
      </c>
      <c r="E25" s="234">
        <f>H25/D25</f>
        <v>0.22815533980582522</v>
      </c>
      <c r="F25" s="250">
        <f>MAX(D25*$F$3*($B$27-B25)/$B$27,0)</f>
        <v>17330.097087378657</v>
      </c>
      <c r="G25" s="251">
        <f>$H$21*D25*VLOOKUP(C25,E8:F10,2,FALSE)</f>
        <v>254174.75728155338</v>
      </c>
      <c r="H25" s="251">
        <f>G25+F25</f>
        <v>271504.85436893202</v>
      </c>
      <c r="I25" s="255">
        <f>IF(H25&gt;D25,D25,H25)</f>
        <v>271504.85436893202</v>
      </c>
      <c r="J25" s="256" t="str">
        <f>IF(H25&gt;D25,H25-D25,"0")</f>
        <v>0</v>
      </c>
      <c r="K25" s="210"/>
      <c r="L25"/>
      <c r="M25"/>
      <c r="N25"/>
      <c r="O25"/>
      <c r="P25"/>
      <c r="Q25"/>
      <c r="R25"/>
      <c r="S25"/>
    </row>
    <row r="26" spans="1:19" x14ac:dyDescent="0.3">
      <c r="A26" s="257" t="s">
        <v>19</v>
      </c>
      <c r="B26" s="258">
        <f>SUM(B23:B25)/3</f>
        <v>0.33333333333333331</v>
      </c>
      <c r="C26" s="259"/>
      <c r="D26" s="260">
        <f>SUM(D23:D25)</f>
        <v>3400000</v>
      </c>
      <c r="E26" s="254">
        <f>H26/D26</f>
        <v>1</v>
      </c>
      <c r="F26" s="262"/>
      <c r="G26" s="262"/>
      <c r="H26" s="263">
        <f>SUM(H23:H25)</f>
        <v>3400000</v>
      </c>
      <c r="I26" s="264">
        <f>SUM(I23:I25)</f>
        <v>2213025.8899676376</v>
      </c>
      <c r="J26" s="265">
        <f>SUM(J23:J25)</f>
        <v>1186974.1100323624</v>
      </c>
      <c r="K26" s="210"/>
      <c r="L26"/>
      <c r="M26"/>
      <c r="N26"/>
      <c r="O26"/>
      <c r="P26"/>
      <c r="Q26"/>
      <c r="R26"/>
      <c r="S26"/>
    </row>
    <row r="27" spans="1:19" ht="15.5" x14ac:dyDescent="0.3">
      <c r="A27" s="215" t="s">
        <v>49</v>
      </c>
      <c r="B27" s="301">
        <v>0.41199999999999998</v>
      </c>
      <c r="C27" s="272"/>
      <c r="D27" s="266"/>
      <c r="E27" s="267"/>
      <c r="F27" s="267"/>
      <c r="G27" s="267"/>
      <c r="H27" s="210"/>
      <c r="I27" s="210"/>
      <c r="J27" s="210"/>
      <c r="K27" s="210"/>
      <c r="L27"/>
      <c r="M27"/>
      <c r="N27"/>
      <c r="O27"/>
      <c r="P27"/>
      <c r="Q27"/>
      <c r="R27"/>
      <c r="S27"/>
    </row>
    <row r="28" spans="1:19" x14ac:dyDescent="0.3">
      <c r="B28" s="271"/>
      <c r="C28" s="272"/>
      <c r="D28" s="266"/>
      <c r="E28" s="267"/>
      <c r="F28" s="267"/>
      <c r="G28" s="267"/>
      <c r="H28" s="210"/>
      <c r="I28" s="210"/>
      <c r="J28" s="210"/>
      <c r="K28" s="210"/>
      <c r="L28" s="215"/>
      <c r="M28" s="273"/>
      <c r="N28" s="216"/>
      <c r="O28" s="217"/>
      <c r="P28" s="218"/>
    </row>
    <row r="29" spans="1:19" x14ac:dyDescent="0.3">
      <c r="A29" s="360" t="s">
        <v>66</v>
      </c>
      <c r="B29" s="361"/>
      <c r="C29" s="361"/>
      <c r="D29" s="361"/>
      <c r="E29" s="361"/>
      <c r="F29" s="361"/>
      <c r="G29" s="361"/>
      <c r="H29" s="361"/>
      <c r="I29" s="361"/>
      <c r="J29" s="362"/>
      <c r="K29" s="210"/>
      <c r="L29"/>
      <c r="M29"/>
      <c r="N29"/>
      <c r="O29"/>
      <c r="P29"/>
      <c r="Q29"/>
      <c r="R29"/>
      <c r="S29"/>
    </row>
    <row r="30" spans="1:19" ht="15.5" x14ac:dyDescent="0.3">
      <c r="A30" s="232" t="s">
        <v>31</v>
      </c>
      <c r="B30" s="238"/>
      <c r="C30" s="239"/>
      <c r="D30" s="240">
        <v>0.33</v>
      </c>
      <c r="E30" s="269"/>
      <c r="F30" s="241"/>
      <c r="G30" s="241" t="s">
        <v>40</v>
      </c>
      <c r="H30" s="284">
        <v>1.2723744292237449</v>
      </c>
      <c r="I30" s="284"/>
      <c r="J30" s="285"/>
      <c r="K30" s="210"/>
      <c r="L30"/>
      <c r="M30"/>
      <c r="N30"/>
      <c r="O30"/>
      <c r="P30"/>
      <c r="Q30"/>
      <c r="R30"/>
      <c r="S30"/>
    </row>
    <row r="31" spans="1:19" ht="26" x14ac:dyDescent="0.3">
      <c r="A31" s="242" t="s">
        <v>3</v>
      </c>
      <c r="B31" s="243" t="s">
        <v>50</v>
      </c>
      <c r="C31" s="274" t="s">
        <v>5</v>
      </c>
      <c r="D31" s="244" t="s">
        <v>21</v>
      </c>
      <c r="E31" s="303" t="s">
        <v>11</v>
      </c>
      <c r="F31" s="154" t="s">
        <v>47</v>
      </c>
      <c r="G31" s="291" t="s">
        <v>48</v>
      </c>
      <c r="H31" s="306" t="s">
        <v>22</v>
      </c>
      <c r="I31" s="243" t="s">
        <v>23</v>
      </c>
      <c r="J31" s="247" t="s">
        <v>12</v>
      </c>
      <c r="K31" s="210"/>
      <c r="L31"/>
      <c r="M31"/>
      <c r="N31"/>
      <c r="O31"/>
      <c r="P31"/>
      <c r="Q31"/>
      <c r="R31"/>
      <c r="S31"/>
    </row>
    <row r="32" spans="1:19" x14ac:dyDescent="0.3">
      <c r="A32" s="226" t="s">
        <v>9</v>
      </c>
      <c r="B32" s="275">
        <v>0.61</v>
      </c>
      <c r="C32" s="249">
        <f>RANK(B32,B32:B34,0)</f>
        <v>1</v>
      </c>
      <c r="D32" s="276">
        <f>VLOOKUP(A32,$A$6:$C$8,2,FALSE)*$D$30</f>
        <v>825000</v>
      </c>
      <c r="E32" s="305">
        <f>H32/D32</f>
        <v>1.7876484018264849</v>
      </c>
      <c r="F32" s="188">
        <f>MAX(D32*$F$3*(B32-$B$36)/$B$36,0)</f>
        <v>110188.35616438367</v>
      </c>
      <c r="G32" s="328">
        <f>$H$30*D32*VLOOKUP(C32,E6:F8,2,FALSE)</f>
        <v>1364621.5753424664</v>
      </c>
      <c r="H32" s="307">
        <f>G32+F32</f>
        <v>1474809.9315068501</v>
      </c>
      <c r="I32" s="250">
        <f>IF(H32&gt;D32,D32,H32)</f>
        <v>825000</v>
      </c>
      <c r="J32" s="252">
        <f>IF(H32&gt;D32,H32-D32,"0")</f>
        <v>649809.93150685006</v>
      </c>
      <c r="K32" s="210"/>
      <c r="L32"/>
      <c r="M32"/>
      <c r="N32"/>
      <c r="O32"/>
      <c r="P32"/>
      <c r="Q32"/>
      <c r="R32"/>
      <c r="S32"/>
    </row>
    <row r="33" spans="1:19" x14ac:dyDescent="0.3">
      <c r="A33" s="226" t="s">
        <v>13</v>
      </c>
      <c r="B33" s="248">
        <v>0.59</v>
      </c>
      <c r="C33" s="215">
        <f>RANK(B33,B32:B34,0)</f>
        <v>2</v>
      </c>
      <c r="D33" s="250">
        <f>VLOOKUP(A33,$A$6:$C$8,2,FALSE)*$D$30</f>
        <v>1320000</v>
      </c>
      <c r="E33" s="229">
        <f>H33/D33</f>
        <v>1.0487214611872153</v>
      </c>
      <c r="F33" s="288">
        <f>MAX(D33*$F$3*(B33-$B$36)/$B$36,0)</f>
        <v>40684.931506849352</v>
      </c>
      <c r="G33" s="329">
        <f>$H$30*D33*VLOOKUP(C33,E7:F9,2,FALSE)</f>
        <v>1343627.3972602747</v>
      </c>
      <c r="H33" s="307">
        <f>G33+F33</f>
        <v>1384312.3287671241</v>
      </c>
      <c r="I33" s="250">
        <f>IF(H33&gt;D33,D33,H33)</f>
        <v>1320000</v>
      </c>
      <c r="J33" s="252">
        <f>IF(H33&gt;D33,H33-D33,"0")</f>
        <v>64312.328767124098</v>
      </c>
      <c r="K33" s="210"/>
      <c r="L33"/>
      <c r="M33"/>
      <c r="N33"/>
      <c r="O33"/>
      <c r="P33"/>
      <c r="Q33"/>
      <c r="R33"/>
      <c r="S33"/>
    </row>
    <row r="34" spans="1:19" x14ac:dyDescent="0.3">
      <c r="A34" s="226" t="s">
        <v>15</v>
      </c>
      <c r="B34" s="278">
        <v>0.31</v>
      </c>
      <c r="C34" s="253">
        <f>RANK(B34,B32:B34,0)</f>
        <v>3</v>
      </c>
      <c r="D34" s="255">
        <f>VLOOKUP(A34,$A$6:$C$8,2,FALSE)*$D$30</f>
        <v>1155000</v>
      </c>
      <c r="E34" s="234">
        <f>H34/D34</f>
        <v>0.38171232876712347</v>
      </c>
      <c r="F34" s="188">
        <f>MAX(D34*$F$3*(B34-$B$36)/$B$36,0)</f>
        <v>0</v>
      </c>
      <c r="G34" s="329">
        <f>$H$30*D34*VLOOKUP(C34,E8:F10,2,FALSE)</f>
        <v>440877.73972602759</v>
      </c>
      <c r="H34" s="308">
        <f>G34+F34</f>
        <v>440877.73972602759</v>
      </c>
      <c r="I34" s="255">
        <f>IF(H34&gt;D34,D34,H34)</f>
        <v>440877.73972602759</v>
      </c>
      <c r="J34" s="256" t="str">
        <f>IF(H34&gt;D34,H34-D34,"0")</f>
        <v>0</v>
      </c>
      <c r="K34" s="210"/>
      <c r="L34"/>
      <c r="M34"/>
      <c r="N34"/>
      <c r="O34"/>
      <c r="P34"/>
      <c r="Q34"/>
      <c r="R34"/>
      <c r="S34"/>
    </row>
    <row r="35" spans="1:19" x14ac:dyDescent="0.3">
      <c r="A35" s="257" t="s">
        <v>19</v>
      </c>
      <c r="B35" s="258">
        <f>SUM(B32:B34)/3</f>
        <v>0.5033333333333333</v>
      </c>
      <c r="C35" s="253"/>
      <c r="D35" s="260">
        <f>SUM(D32:D34)</f>
        <v>3300000</v>
      </c>
      <c r="E35" s="254">
        <f>H35/D35</f>
        <v>1.0000000000000007</v>
      </c>
      <c r="F35" s="261"/>
      <c r="G35" s="262"/>
      <c r="H35" s="263">
        <f>SUM(H32:H34)</f>
        <v>3300000.0000000019</v>
      </c>
      <c r="I35" s="264">
        <f>SUM(I32:I34)</f>
        <v>2585877.7397260275</v>
      </c>
      <c r="J35" s="265">
        <f>SUM(J32:J34)</f>
        <v>714122.26027397416</v>
      </c>
      <c r="K35" s="210"/>
      <c r="L35"/>
      <c r="M35"/>
      <c r="N35"/>
      <c r="O35"/>
      <c r="P35"/>
      <c r="Q35"/>
      <c r="R35"/>
      <c r="S35"/>
    </row>
    <row r="36" spans="1:19" ht="15.5" x14ac:dyDescent="0.3">
      <c r="A36" s="215" t="s">
        <v>49</v>
      </c>
      <c r="B36" s="301">
        <v>0.58399999999999996</v>
      </c>
      <c r="C36" s="272"/>
      <c r="D36" s="266"/>
      <c r="E36" s="267"/>
      <c r="F36" s="267"/>
      <c r="G36" s="267"/>
      <c r="H36" s="210"/>
      <c r="I36" s="210"/>
      <c r="J36" s="210"/>
      <c r="K36" s="210"/>
      <c r="L36"/>
      <c r="M36"/>
      <c r="N36"/>
      <c r="O36"/>
      <c r="P36"/>
      <c r="Q36"/>
      <c r="R36"/>
      <c r="S36"/>
    </row>
    <row r="37" spans="1:19" x14ac:dyDescent="0.3">
      <c r="B37" s="271"/>
      <c r="C37" s="272"/>
      <c r="D37" s="266"/>
      <c r="E37" s="267"/>
      <c r="F37" s="267"/>
      <c r="G37" s="267"/>
      <c r="H37" s="210"/>
      <c r="I37" s="210"/>
      <c r="J37" s="210"/>
      <c r="K37" s="210"/>
      <c r="L37" s="215"/>
      <c r="M37" s="273"/>
      <c r="N37" s="216"/>
      <c r="O37" s="217"/>
      <c r="P37" s="218"/>
    </row>
    <row r="38" spans="1:19" x14ac:dyDescent="0.3">
      <c r="A38"/>
      <c r="B38"/>
      <c r="C38"/>
      <c r="D38"/>
      <c r="E38"/>
      <c r="F38"/>
      <c r="G38"/>
      <c r="H38"/>
      <c r="I38"/>
      <c r="J38"/>
      <c r="K38" s="210"/>
    </row>
    <row r="39" spans="1:19" x14ac:dyDescent="0.3">
      <c r="A39" s="360" t="s">
        <v>24</v>
      </c>
      <c r="B39" s="361"/>
      <c r="C39" s="361"/>
      <c r="D39" s="361"/>
      <c r="E39" s="361"/>
      <c r="F39" s="361"/>
      <c r="G39" s="361"/>
      <c r="H39" s="361"/>
      <c r="I39" s="361"/>
      <c r="J39" s="362"/>
      <c r="K39" s="210"/>
    </row>
    <row r="40" spans="1:19" x14ac:dyDescent="0.3">
      <c r="A40" s="232"/>
      <c r="B40" s="238"/>
      <c r="C40" s="239"/>
      <c r="D40" s="240">
        <v>1</v>
      </c>
      <c r="E40" s="241"/>
      <c r="F40" s="241"/>
      <c r="G40" s="241"/>
      <c r="H40" s="284"/>
      <c r="I40" s="284"/>
      <c r="J40" s="285"/>
      <c r="K40" s="210"/>
    </row>
    <row r="41" spans="1:19" ht="26" x14ac:dyDescent="0.3">
      <c r="A41" s="222" t="s">
        <v>3</v>
      </c>
      <c r="B41" s="274"/>
      <c r="C41" s="274" t="s">
        <v>5</v>
      </c>
      <c r="D41" s="244" t="s">
        <v>21</v>
      </c>
      <c r="E41" s="303" t="s">
        <v>11</v>
      </c>
      <c r="F41" s="302" t="s">
        <v>47</v>
      </c>
      <c r="G41" s="291" t="s">
        <v>48</v>
      </c>
      <c r="H41" s="246" t="s">
        <v>22</v>
      </c>
      <c r="I41" s="243" t="s">
        <v>23</v>
      </c>
      <c r="J41" s="247" t="s">
        <v>12</v>
      </c>
      <c r="K41" s="210"/>
    </row>
    <row r="42" spans="1:19" x14ac:dyDescent="0.3">
      <c r="A42" s="325" t="s">
        <v>9</v>
      </c>
      <c r="B42" s="326"/>
      <c r="C42" s="249">
        <f>RANK(E42,E42:E44)</f>
        <v>1</v>
      </c>
      <c r="D42" s="188">
        <f>SUMIF($A$11:$A$38,A42,$D$11:$D$38)+SUMIF($L$14:$L$26,A42,$O$14:$O$26)</f>
        <v>2500000</v>
      </c>
      <c r="E42" s="229">
        <f>H42/D42</f>
        <v>1.7398934183572918</v>
      </c>
      <c r="F42" s="250">
        <f>SUMIF($A$11:$A$38,A42,$F$11:$F$38)</f>
        <v>1360431.0746109858</v>
      </c>
      <c r="G42" s="251">
        <f>SUMIF($A$11:$A$38,A42,$G$11:$G$38)</f>
        <v>2989302.4712822437</v>
      </c>
      <c r="H42" s="251">
        <f>G42+F42</f>
        <v>4349733.5458932295</v>
      </c>
      <c r="I42" s="250">
        <f>SUMIF($A$11:$A$38,A42,$I$11:$I$38)</f>
        <v>2500000</v>
      </c>
      <c r="J42" s="252">
        <f>SUMIF($A$11:$A$38,A42,$J$11:$J$38)</f>
        <v>1849733.5458932298</v>
      </c>
      <c r="K42" s="210"/>
    </row>
    <row r="43" spans="1:19" x14ac:dyDescent="0.3">
      <c r="A43" s="226" t="s">
        <v>13</v>
      </c>
      <c r="B43" s="280"/>
      <c r="C43" s="215">
        <f>RANK(E43,E42:E44)</f>
        <v>3</v>
      </c>
      <c r="D43" s="188">
        <f>SUMIF($A$11:$A$38,A43,$D$11:$D$38)+SUMIF($L$14:$L$26,A43,$O$14:$O$26)</f>
        <v>4000000</v>
      </c>
      <c r="E43" s="229">
        <f>H43/D43</f>
        <v>0.74465076674455988</v>
      </c>
      <c r="F43" s="250">
        <f>SUMIF($A$11:$A$38,A43,$F$11:$F$38)</f>
        <v>357578.13539034425</v>
      </c>
      <c r="G43" s="251">
        <f>SUMIF($A$11:$A$38,A43,$G$11:$G$38)</f>
        <v>2621024.9315878954</v>
      </c>
      <c r="H43" s="251">
        <f>G43+F43</f>
        <v>2978603.0669782395</v>
      </c>
      <c r="I43" s="250">
        <f>SUMIF($A$11:$A$38,A43,$I$11:$I$38)</f>
        <v>2914290.7382111158</v>
      </c>
      <c r="J43" s="252">
        <f>SUMIF($A$11:$A$38,A43,$J$11:$J$38)</f>
        <v>64312.328767124098</v>
      </c>
      <c r="K43" s="210"/>
    </row>
    <row r="44" spans="1:19" x14ac:dyDescent="0.3">
      <c r="A44" s="232" t="s">
        <v>15</v>
      </c>
      <c r="B44" s="238"/>
      <c r="C44" s="253">
        <f>RANK(E44,E42:E44)</f>
        <v>2</v>
      </c>
      <c r="D44" s="188">
        <f>SUMIF($A$11:$A$38,A44,$D$11:$D$38)+SUMIF($L$14:$L$26,A44,$O$14:$O$26)</f>
        <v>3500000</v>
      </c>
      <c r="E44" s="234">
        <f>H44/D44</f>
        <v>0.76333239632243766</v>
      </c>
      <c r="F44" s="250">
        <f>SUMIF($A$11:$A$38,A44,$F$11:$F$38)</f>
        <v>70275.767715562077</v>
      </c>
      <c r="G44" s="304">
        <f>SUMIF($A$11:$A$38,A44,$G$11:$G$38)</f>
        <v>2601387.6194129698</v>
      </c>
      <c r="H44" s="304">
        <f>G44+F44</f>
        <v>2671663.3871285319</v>
      </c>
      <c r="I44" s="255">
        <f>SUMIF($A$11:$A$38,A44,$I$11:$I$38)</f>
        <v>1867382.5940949596</v>
      </c>
      <c r="J44" s="256">
        <f>SUMIF($A$11:$A$38,A44,$J$11:$J$38)</f>
        <v>804280.79303357261</v>
      </c>
      <c r="K44" s="210"/>
    </row>
    <row r="45" spans="1:19" x14ac:dyDescent="0.3">
      <c r="A45" s="232" t="s">
        <v>19</v>
      </c>
      <c r="B45" s="253"/>
      <c r="C45" s="253"/>
      <c r="D45" s="282">
        <f>SUM(D42:D44)</f>
        <v>10000000</v>
      </c>
      <c r="E45" s="262">
        <f>H45/D45</f>
        <v>1</v>
      </c>
      <c r="F45" s="262"/>
      <c r="G45" s="262"/>
      <c r="H45" s="263">
        <f>SUM(H42:H44)</f>
        <v>10000000</v>
      </c>
      <c r="I45" s="264">
        <f>SUM(I42:I44)</f>
        <v>7281673.3323060758</v>
      </c>
      <c r="J45" s="283">
        <f>SUM(J42:J44)</f>
        <v>2718326.6676939265</v>
      </c>
      <c r="K45" s="210"/>
    </row>
    <row r="46" spans="1:19" x14ac:dyDescent="0.3">
      <c r="K46" s="210"/>
      <c r="Q46" s="219" t="s">
        <v>32</v>
      </c>
    </row>
    <row r="47" spans="1:19" x14ac:dyDescent="0.3">
      <c r="K47" s="210"/>
    </row>
    <row r="48" spans="1:19" s="310" customFormat="1" ht="14" x14ac:dyDescent="0.3">
      <c r="A48" s="339" t="s">
        <v>41</v>
      </c>
      <c r="B48" s="339"/>
      <c r="C48" s="339"/>
      <c r="D48" s="339"/>
      <c r="E48" s="339"/>
      <c r="F48" s="339"/>
      <c r="G48" s="309"/>
    </row>
    <row r="49" spans="1:13" s="310" customFormat="1" ht="14" x14ac:dyDescent="0.3">
      <c r="A49" s="156" t="s">
        <v>43</v>
      </c>
      <c r="B49" s="330"/>
      <c r="C49" s="146"/>
      <c r="D49" s="330"/>
      <c r="E49" s="330"/>
      <c r="F49" s="330"/>
      <c r="G49" s="309"/>
    </row>
    <row r="50" spans="1:13" s="310" customFormat="1" ht="14" x14ac:dyDescent="0.3">
      <c r="A50" s="280" t="s">
        <v>53</v>
      </c>
      <c r="B50" s="215"/>
      <c r="C50" s="215"/>
      <c r="D50" s="331"/>
      <c r="E50" s="332"/>
      <c r="F50" s="332"/>
      <c r="G50" s="318"/>
    </row>
    <row r="51" spans="1:13" s="310" customFormat="1" ht="14" x14ac:dyDescent="0.3">
      <c r="A51" s="311"/>
      <c r="B51" s="311"/>
      <c r="C51" s="311"/>
      <c r="D51" s="312"/>
      <c r="E51" s="309"/>
      <c r="F51" s="309"/>
      <c r="G51" s="309"/>
    </row>
    <row r="52" spans="1:13" x14ac:dyDescent="0.3">
      <c r="K52" s="210"/>
      <c r="L52" s="219"/>
      <c r="M52" s="219"/>
    </row>
    <row r="53" spans="1:13" x14ac:dyDescent="0.3">
      <c r="K53" s="210"/>
      <c r="L53" s="219"/>
      <c r="M53" s="219"/>
    </row>
    <row r="54" spans="1:13" x14ac:dyDescent="0.3">
      <c r="A54" s="219"/>
      <c r="B54" s="219"/>
      <c r="C54" s="219"/>
      <c r="D54" s="219"/>
      <c r="E54" s="219"/>
      <c r="F54" s="219"/>
      <c r="G54" s="219"/>
      <c r="K54" s="210"/>
      <c r="L54" s="219"/>
      <c r="M54" s="219"/>
    </row>
    <row r="55" spans="1:13" x14ac:dyDescent="0.3">
      <c r="A55" s="219"/>
      <c r="B55" s="219"/>
      <c r="C55" s="219"/>
      <c r="D55" s="219"/>
      <c r="E55" s="219"/>
      <c r="F55" s="219"/>
      <c r="G55" s="219"/>
      <c r="K55" s="210"/>
      <c r="L55" s="219"/>
      <c r="M55" s="219"/>
    </row>
    <row r="56" spans="1:13" x14ac:dyDescent="0.3">
      <c r="A56" s="219"/>
      <c r="B56" s="219"/>
      <c r="C56" s="219"/>
      <c r="D56" s="219"/>
      <c r="E56" s="219"/>
      <c r="F56" s="219"/>
      <c r="G56" s="219"/>
      <c r="K56" s="210"/>
      <c r="L56" s="219"/>
      <c r="M56" s="219"/>
    </row>
    <row r="57" spans="1:13" x14ac:dyDescent="0.3">
      <c r="A57" s="219"/>
      <c r="B57" s="219"/>
      <c r="C57" s="219"/>
      <c r="D57" s="219"/>
      <c r="E57" s="219"/>
      <c r="F57" s="219"/>
      <c r="G57" s="219"/>
      <c r="K57" s="210"/>
      <c r="L57" s="219"/>
      <c r="M57" s="219"/>
    </row>
    <row r="58" spans="1:13" x14ac:dyDescent="0.3">
      <c r="A58" s="219"/>
      <c r="B58" s="219"/>
      <c r="C58" s="219"/>
      <c r="D58" s="219"/>
      <c r="E58" s="219"/>
      <c r="F58" s="219"/>
      <c r="G58" s="219"/>
      <c r="K58" s="210"/>
      <c r="L58" s="219"/>
      <c r="M58" s="219"/>
    </row>
    <row r="59" spans="1:13" x14ac:dyDescent="0.3">
      <c r="A59" s="219"/>
      <c r="B59" s="219"/>
      <c r="C59" s="219"/>
      <c r="D59" s="219"/>
      <c r="E59" s="219"/>
      <c r="F59" s="219"/>
      <c r="G59" s="219"/>
      <c r="K59" s="210"/>
      <c r="L59" s="219"/>
      <c r="M59" s="219"/>
    </row>
    <row r="60" spans="1:13" x14ac:dyDescent="0.3">
      <c r="A60" s="219"/>
      <c r="B60" s="219"/>
      <c r="C60" s="219"/>
      <c r="D60" s="219"/>
      <c r="E60" s="219"/>
      <c r="F60" s="219"/>
      <c r="G60" s="219"/>
      <c r="K60" s="210"/>
      <c r="L60" s="219"/>
      <c r="M60" s="219"/>
    </row>
    <row r="61" spans="1:13" x14ac:dyDescent="0.3">
      <c r="A61" s="219"/>
      <c r="B61" s="219"/>
      <c r="C61" s="219"/>
      <c r="D61" s="219"/>
      <c r="E61" s="219"/>
      <c r="F61" s="219"/>
      <c r="G61" s="219"/>
      <c r="K61" s="210"/>
      <c r="L61" s="219"/>
      <c r="M61" s="219"/>
    </row>
    <row r="62" spans="1:13" ht="10.5" x14ac:dyDescent="0.25">
      <c r="A62" s="219"/>
      <c r="B62" s="219"/>
      <c r="C62" s="219"/>
      <c r="D62" s="219"/>
      <c r="E62" s="219"/>
      <c r="F62" s="219"/>
      <c r="G62" s="219"/>
      <c r="L62" s="219"/>
      <c r="M62" s="219"/>
    </row>
    <row r="63" spans="1:13" ht="10.5" x14ac:dyDescent="0.25">
      <c r="A63" s="219"/>
      <c r="B63" s="219"/>
      <c r="C63" s="219"/>
      <c r="D63" s="219"/>
      <c r="E63" s="219"/>
      <c r="F63" s="219"/>
      <c r="G63" s="219"/>
      <c r="L63" s="219"/>
      <c r="M63" s="219"/>
    </row>
    <row r="64" spans="1:13" ht="10.5" x14ac:dyDescent="0.25">
      <c r="A64" s="219"/>
      <c r="B64" s="219"/>
      <c r="C64" s="219"/>
      <c r="D64" s="219"/>
      <c r="E64" s="219"/>
      <c r="F64" s="219"/>
      <c r="G64" s="219"/>
      <c r="L64" s="219"/>
      <c r="M64" s="219"/>
    </row>
    <row r="65" spans="1:13" ht="10.5" x14ac:dyDescent="0.25">
      <c r="A65" s="219"/>
      <c r="B65" s="219"/>
      <c r="C65" s="219"/>
      <c r="D65" s="219"/>
      <c r="E65" s="219"/>
      <c r="F65" s="219"/>
      <c r="G65" s="219"/>
      <c r="L65" s="219"/>
      <c r="M65" s="219"/>
    </row>
    <row r="66" spans="1:13" ht="10.5" x14ac:dyDescent="0.25">
      <c r="A66" s="219"/>
      <c r="B66" s="219"/>
      <c r="C66" s="219"/>
      <c r="D66" s="219"/>
      <c r="E66" s="219"/>
      <c r="F66" s="219"/>
      <c r="G66" s="219"/>
      <c r="L66" s="219"/>
      <c r="M66" s="219"/>
    </row>
    <row r="67" spans="1:13" ht="10.5" x14ac:dyDescent="0.25">
      <c r="A67" s="219"/>
      <c r="B67" s="219"/>
      <c r="C67" s="219"/>
      <c r="D67" s="219"/>
      <c r="E67" s="219"/>
      <c r="F67" s="219"/>
      <c r="G67" s="219"/>
      <c r="L67" s="219"/>
      <c r="M67" s="219"/>
    </row>
    <row r="68" spans="1:13" ht="10.5" x14ac:dyDescent="0.25">
      <c r="A68" s="219"/>
      <c r="B68" s="219"/>
      <c r="C68" s="219"/>
      <c r="D68" s="219"/>
      <c r="E68" s="219"/>
      <c r="F68" s="219"/>
      <c r="G68" s="219"/>
      <c r="L68" s="219"/>
      <c r="M68" s="219"/>
    </row>
    <row r="69" spans="1:13" ht="10.5" x14ac:dyDescent="0.25">
      <c r="A69" s="219"/>
      <c r="B69" s="219"/>
      <c r="C69" s="219"/>
      <c r="D69" s="219"/>
      <c r="E69" s="219"/>
      <c r="F69" s="219"/>
      <c r="G69" s="219"/>
      <c r="L69" s="219"/>
      <c r="M69" s="219"/>
    </row>
    <row r="70" spans="1:13" ht="10.5" x14ac:dyDescent="0.25">
      <c r="A70" s="219"/>
      <c r="B70" s="219"/>
      <c r="C70" s="219"/>
      <c r="D70" s="219"/>
      <c r="E70" s="219"/>
      <c r="F70" s="219"/>
      <c r="G70" s="219"/>
      <c r="L70" s="219"/>
      <c r="M70" s="219"/>
    </row>
    <row r="71" spans="1:13" ht="10.5" x14ac:dyDescent="0.25">
      <c r="A71" s="219"/>
      <c r="B71" s="219"/>
      <c r="C71" s="219"/>
      <c r="D71" s="219"/>
      <c r="E71" s="219"/>
      <c r="F71" s="219"/>
      <c r="G71" s="219"/>
      <c r="L71" s="219"/>
      <c r="M71" s="219"/>
    </row>
    <row r="72" spans="1:13" ht="10.5" x14ac:dyDescent="0.25">
      <c r="A72" s="219"/>
      <c r="B72" s="219"/>
      <c r="C72" s="219"/>
      <c r="D72" s="219"/>
      <c r="E72" s="219"/>
      <c r="F72" s="219"/>
      <c r="G72" s="219"/>
      <c r="L72" s="219"/>
      <c r="M72" s="219"/>
    </row>
    <row r="73" spans="1:13" ht="10.5" x14ac:dyDescent="0.25">
      <c r="A73" s="219"/>
      <c r="B73" s="219"/>
      <c r="C73" s="219"/>
      <c r="D73" s="219"/>
      <c r="E73" s="219"/>
      <c r="F73" s="219"/>
      <c r="G73" s="219"/>
      <c r="L73" s="219"/>
      <c r="M73" s="219"/>
    </row>
    <row r="74" spans="1:13" ht="10.5" x14ac:dyDescent="0.25">
      <c r="A74" s="219"/>
      <c r="B74" s="219"/>
      <c r="C74" s="219"/>
      <c r="D74" s="219"/>
      <c r="E74" s="219"/>
      <c r="F74" s="219"/>
      <c r="G74" s="219"/>
      <c r="L74" s="219"/>
      <c r="M74" s="219"/>
    </row>
    <row r="75" spans="1:13" ht="10.5" x14ac:dyDescent="0.25">
      <c r="A75" s="219"/>
      <c r="B75" s="219"/>
      <c r="C75" s="219"/>
      <c r="D75" s="219"/>
      <c r="E75" s="219"/>
      <c r="F75" s="219"/>
      <c r="G75" s="219"/>
      <c r="L75" s="219"/>
      <c r="M75" s="219"/>
    </row>
    <row r="76" spans="1:13" x14ac:dyDescent="0.3">
      <c r="A76" s="219"/>
      <c r="B76" s="219"/>
      <c r="C76" s="219"/>
      <c r="D76" s="219"/>
      <c r="E76" s="219"/>
      <c r="F76" s="219"/>
      <c r="G76" s="219"/>
    </row>
    <row r="77" spans="1:13" x14ac:dyDescent="0.3">
      <c r="A77" s="219"/>
      <c r="B77" s="219"/>
      <c r="C77" s="219"/>
      <c r="D77" s="219"/>
      <c r="E77" s="219"/>
      <c r="F77" s="219"/>
      <c r="G77" s="219"/>
    </row>
    <row r="78" spans="1:13" x14ac:dyDescent="0.3">
      <c r="A78" s="219"/>
      <c r="B78" s="219"/>
      <c r="C78" s="219"/>
      <c r="D78" s="219"/>
      <c r="E78" s="219"/>
      <c r="F78" s="219"/>
      <c r="G78" s="219"/>
    </row>
    <row r="79" spans="1:13" x14ac:dyDescent="0.3">
      <c r="A79" s="219"/>
      <c r="B79" s="219"/>
      <c r="C79" s="219"/>
      <c r="D79" s="219"/>
      <c r="E79" s="219"/>
      <c r="F79" s="219"/>
      <c r="G79" s="219"/>
    </row>
    <row r="80" spans="1:13" x14ac:dyDescent="0.3">
      <c r="A80" s="219"/>
      <c r="B80" s="219"/>
      <c r="C80" s="219"/>
      <c r="D80" s="219"/>
      <c r="E80" s="219"/>
      <c r="F80" s="219"/>
      <c r="G80" s="219"/>
    </row>
    <row r="81" spans="1:11" x14ac:dyDescent="0.3">
      <c r="A81" s="219"/>
      <c r="B81" s="219"/>
      <c r="C81" s="219"/>
      <c r="D81" s="219"/>
      <c r="E81" s="219"/>
      <c r="F81" s="219"/>
      <c r="G81" s="219"/>
    </row>
    <row r="82" spans="1:11" x14ac:dyDescent="0.3">
      <c r="A82" s="219"/>
      <c r="B82" s="219"/>
      <c r="C82" s="219"/>
      <c r="D82" s="219"/>
      <c r="E82" s="219"/>
      <c r="F82" s="219"/>
      <c r="G82" s="219"/>
      <c r="K82" s="231"/>
    </row>
    <row r="83" spans="1:11" x14ac:dyDescent="0.3">
      <c r="A83" s="219"/>
      <c r="B83" s="219"/>
      <c r="C83" s="219"/>
      <c r="D83" s="219"/>
      <c r="E83" s="219"/>
      <c r="F83" s="219"/>
      <c r="G83" s="219"/>
    </row>
  </sheetData>
  <mergeCells count="10">
    <mergeCell ref="B6:C6"/>
    <mergeCell ref="B5:C5"/>
    <mergeCell ref="A39:J39"/>
    <mergeCell ref="A48:F48"/>
    <mergeCell ref="B7:C7"/>
    <mergeCell ref="B8:C8"/>
    <mergeCell ref="B9:C9"/>
    <mergeCell ref="A11:J11"/>
    <mergeCell ref="A20:J20"/>
    <mergeCell ref="A29:J29"/>
  </mergeCells>
  <pageMargins left="0.7" right="0.7" top="0.75" bottom="0.75" header="0.3" footer="0.3"/>
  <pageSetup scale="50" orientation="landscape" r:id="rId1"/>
  <headerFooter>
    <oddHeader xml:space="preserve">&amp;L&amp;G&amp;C&amp;"Times New Roman,Bold"&amp;12ACOM Policy 306, Attachment B - 
APM Quality Performance Measure Scores - ACC
For the Contract Year Ending 09/30/20
&amp;K000000
</oddHeader>
    <oddFooter>&amp;L&amp;"Times New Roman,Bold"Effective Dates: 10/01/21, 09/30/22
Approval Dates: 09/22/21, 10/06/22&amp;C&amp;"Times New Roman,Bold"&amp;12 306, Attachment B - 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DBC26-A388-4505-B30F-4D0D47B1563C}">
  <sheetPr>
    <pageSetUpPr fitToPage="1"/>
  </sheetPr>
  <dimension ref="A1:S82"/>
  <sheetViews>
    <sheetView view="pageLayout" zoomScale="175" zoomScaleNormal="100" zoomScalePageLayoutView="175" workbookViewId="0"/>
  </sheetViews>
  <sheetFormatPr defaultColWidth="9.1796875" defaultRowHeight="13" x14ac:dyDescent="0.3"/>
  <cols>
    <col min="1" max="1" width="24.54296875" style="215" customWidth="1"/>
    <col min="2" max="2" width="9.81640625" style="215" customWidth="1"/>
    <col min="3" max="3" width="9.453125" style="216" customWidth="1"/>
    <col min="4" max="4" width="12.26953125" style="217" bestFit="1" customWidth="1"/>
    <col min="5" max="5" width="17.7265625" style="218" bestFit="1" customWidth="1"/>
    <col min="6" max="6" width="12.7265625" style="218" bestFit="1" customWidth="1"/>
    <col min="7" max="7" width="21.26953125" style="218" bestFit="1" customWidth="1"/>
    <col min="8" max="8" width="22.1796875" style="219" bestFit="1" customWidth="1"/>
    <col min="9" max="9" width="12" style="219" customWidth="1"/>
    <col min="10" max="10" width="13" style="219" bestFit="1" customWidth="1"/>
    <col min="11" max="11" width="4.26953125" style="219" customWidth="1"/>
    <col min="12" max="12" width="20.81640625" style="210" customWidth="1"/>
    <col min="13" max="13" width="9.1796875" style="210"/>
    <col min="14" max="14" width="9.26953125" style="219" customWidth="1"/>
    <col min="15" max="15" width="12.1796875" style="219" customWidth="1"/>
    <col min="16" max="16" width="9.26953125" style="219" customWidth="1"/>
    <col min="17" max="17" width="17.1796875" style="219" bestFit="1" customWidth="1"/>
    <col min="18" max="18" width="15.54296875" style="219" bestFit="1" customWidth="1"/>
    <col min="19" max="19" width="11.453125" style="219" customWidth="1"/>
    <col min="20" max="20" width="11.26953125" style="219" customWidth="1"/>
    <col min="21" max="21" width="9.1796875" style="219"/>
    <col min="22" max="22" width="11.1796875" style="219" customWidth="1"/>
    <col min="23" max="16384" width="9.1796875" style="219"/>
  </cols>
  <sheetData>
    <row r="1" spans="1:19" ht="15" x14ac:dyDescent="0.3">
      <c r="A1" s="214" t="s">
        <v>0</v>
      </c>
      <c r="N1" s="2"/>
    </row>
    <row r="2" spans="1:19" ht="15" x14ac:dyDescent="0.3">
      <c r="N2" s="2"/>
    </row>
    <row r="3" spans="1:19" ht="15" x14ac:dyDescent="0.3">
      <c r="A3" s="3" t="s">
        <v>28</v>
      </c>
      <c r="B3" s="4"/>
      <c r="C3" s="5">
        <v>0.01</v>
      </c>
      <c r="E3" s="214" t="s">
        <v>29</v>
      </c>
      <c r="F3" s="220">
        <v>3</v>
      </c>
      <c r="G3" s="2"/>
      <c r="L3" s="219"/>
      <c r="M3" s="219"/>
    </row>
    <row r="4" spans="1:19" x14ac:dyDescent="0.3">
      <c r="E4" s="221"/>
      <c r="F4" s="221"/>
      <c r="G4" s="221"/>
    </row>
    <row r="5" spans="1:19" x14ac:dyDescent="0.3">
      <c r="A5" s="222" t="s">
        <v>3</v>
      </c>
      <c r="B5" s="358" t="s">
        <v>4</v>
      </c>
      <c r="C5" s="359"/>
      <c r="E5" s="223" t="s">
        <v>5</v>
      </c>
      <c r="F5" s="224" t="s">
        <v>6</v>
      </c>
      <c r="G5" s="225"/>
      <c r="H5" s="225"/>
      <c r="J5" s="210"/>
      <c r="K5" s="210"/>
      <c r="L5" s="219"/>
      <c r="M5" s="219"/>
    </row>
    <row r="6" spans="1:19" x14ac:dyDescent="0.3">
      <c r="A6" s="226" t="s">
        <v>9</v>
      </c>
      <c r="B6" s="356">
        <v>2500000</v>
      </c>
      <c r="C6" s="357"/>
      <c r="D6" s="227"/>
      <c r="E6" s="228">
        <v>1</v>
      </c>
      <c r="F6" s="229">
        <v>1.3</v>
      </c>
      <c r="G6" s="230"/>
      <c r="H6" s="230"/>
      <c r="J6" s="210"/>
      <c r="K6" s="210"/>
      <c r="L6" s="219"/>
      <c r="M6" s="219"/>
    </row>
    <row r="7" spans="1:19" x14ac:dyDescent="0.3">
      <c r="A7" s="226" t="s">
        <v>13</v>
      </c>
      <c r="B7" s="356">
        <v>4000000</v>
      </c>
      <c r="C7" s="357"/>
      <c r="D7" s="227"/>
      <c r="E7" s="228">
        <v>2</v>
      </c>
      <c r="F7" s="229">
        <v>0.8</v>
      </c>
      <c r="G7" s="230"/>
      <c r="H7" s="230"/>
      <c r="I7" s="231"/>
      <c r="J7" s="210"/>
      <c r="K7" s="210"/>
      <c r="L7" s="219"/>
      <c r="M7" s="219"/>
    </row>
    <row r="8" spans="1:19" x14ac:dyDescent="0.3">
      <c r="A8" s="232" t="s">
        <v>15</v>
      </c>
      <c r="B8" s="363">
        <v>3500000</v>
      </c>
      <c r="C8" s="364"/>
      <c r="D8" s="227"/>
      <c r="E8" s="233">
        <v>3</v>
      </c>
      <c r="F8" s="234">
        <v>0.3</v>
      </c>
      <c r="G8" s="230"/>
      <c r="H8" s="230"/>
      <c r="J8" s="210"/>
      <c r="K8" s="210"/>
      <c r="L8" s="219"/>
      <c r="M8" s="219"/>
    </row>
    <row r="9" spans="1:19" x14ac:dyDescent="0.3">
      <c r="A9" s="232" t="s">
        <v>19</v>
      </c>
      <c r="B9" s="363">
        <v>10000000</v>
      </c>
      <c r="C9" s="364"/>
      <c r="D9" s="227"/>
      <c r="E9" s="235"/>
      <c r="F9" s="235"/>
      <c r="G9" s="235"/>
      <c r="H9" s="236"/>
      <c r="I9" s="236"/>
      <c r="J9" s="236"/>
    </row>
    <row r="10" spans="1:19" x14ac:dyDescent="0.3">
      <c r="C10" s="215"/>
      <c r="D10" s="227"/>
      <c r="E10" s="235"/>
      <c r="F10" s="235"/>
      <c r="G10" s="235"/>
      <c r="H10" s="237"/>
      <c r="I10" s="237"/>
      <c r="J10" s="237"/>
    </row>
    <row r="11" spans="1:19" x14ac:dyDescent="0.3">
      <c r="A11" s="360" t="s">
        <v>67</v>
      </c>
      <c r="B11" s="361"/>
      <c r="C11" s="361"/>
      <c r="D11" s="361"/>
      <c r="E11" s="361"/>
      <c r="F11" s="361"/>
      <c r="G11" s="361"/>
      <c r="H11" s="361"/>
      <c r="I11" s="361"/>
      <c r="J11" s="362"/>
      <c r="L11"/>
      <c r="M11"/>
      <c r="N11"/>
      <c r="O11"/>
      <c r="P11"/>
      <c r="Q11"/>
      <c r="R11"/>
      <c r="S11"/>
    </row>
    <row r="12" spans="1:19" ht="15.5" x14ac:dyDescent="0.3">
      <c r="A12" s="232" t="s">
        <v>31</v>
      </c>
      <c r="B12" s="238"/>
      <c r="C12" s="239"/>
      <c r="D12" s="240">
        <v>0.33</v>
      </c>
      <c r="F12" s="241"/>
      <c r="G12" s="241" t="s">
        <v>40</v>
      </c>
      <c r="H12" s="284">
        <v>1.2903225806451617</v>
      </c>
      <c r="I12" s="284"/>
      <c r="J12" s="285"/>
      <c r="L12"/>
      <c r="M12"/>
      <c r="N12"/>
      <c r="O12"/>
      <c r="P12"/>
      <c r="Q12"/>
      <c r="R12"/>
      <c r="S12"/>
    </row>
    <row r="13" spans="1:19" ht="28.5" x14ac:dyDescent="0.3">
      <c r="A13" s="242" t="s">
        <v>3</v>
      </c>
      <c r="B13" s="243" t="s">
        <v>54</v>
      </c>
      <c r="C13" s="243" t="s">
        <v>5</v>
      </c>
      <c r="D13" s="244" t="s">
        <v>21</v>
      </c>
      <c r="E13" s="245" t="s">
        <v>11</v>
      </c>
      <c r="F13" s="319" t="s">
        <v>57</v>
      </c>
      <c r="G13" s="154" t="s">
        <v>48</v>
      </c>
      <c r="H13" s="246" t="s">
        <v>22</v>
      </c>
      <c r="I13" s="243" t="s">
        <v>23</v>
      </c>
      <c r="J13" s="247" t="s">
        <v>12</v>
      </c>
      <c r="L13"/>
      <c r="M13"/>
      <c r="N13"/>
      <c r="O13"/>
      <c r="P13"/>
      <c r="Q13"/>
      <c r="R13"/>
      <c r="S13"/>
    </row>
    <row r="14" spans="1:19" x14ac:dyDescent="0.3">
      <c r="A14" s="226" t="s">
        <v>9</v>
      </c>
      <c r="B14" s="248">
        <v>0.63</v>
      </c>
      <c r="C14" s="249">
        <f>RANK(B14,B14:B16,1)</f>
        <v>2</v>
      </c>
      <c r="D14" s="250">
        <f>VLOOKUP(A14,$A$6:$C$8,2,FALSE)*$D$12</f>
        <v>825000</v>
      </c>
      <c r="E14" s="230">
        <f>H14/D14</f>
        <v>1.0322580645161294</v>
      </c>
      <c r="F14" s="288">
        <v>0</v>
      </c>
      <c r="G14" s="250">
        <f>$H$12*D14*VLOOKUP(C14,E6:F8,2,FALSE)</f>
        <v>851612.90322580677</v>
      </c>
      <c r="H14" s="251">
        <f>G14+F14</f>
        <v>851612.90322580677</v>
      </c>
      <c r="I14" s="250">
        <f>IF(H14&gt;D14,D14,H14)</f>
        <v>825000</v>
      </c>
      <c r="J14" s="252">
        <f>IF(H14&gt;D14,H14-D14,"0")</f>
        <v>26612.903225806775</v>
      </c>
      <c r="L14"/>
      <c r="M14"/>
      <c r="N14"/>
      <c r="O14"/>
      <c r="P14"/>
      <c r="Q14"/>
      <c r="R14"/>
      <c r="S14"/>
    </row>
    <row r="15" spans="1:19" x14ac:dyDescent="0.3">
      <c r="A15" s="226" t="s">
        <v>13</v>
      </c>
      <c r="B15" s="248">
        <v>0.65</v>
      </c>
      <c r="C15" s="215">
        <f>RANK(B15,B14:B16,1)</f>
        <v>3</v>
      </c>
      <c r="D15" s="250">
        <f t="shared" ref="D15:D16" si="0">VLOOKUP(A15,$A$6:$C$8,2,FALSE)*$D$12</f>
        <v>1320000</v>
      </c>
      <c r="E15" s="230">
        <f>H15/D15</f>
        <v>0.38709677419354854</v>
      </c>
      <c r="F15" s="288">
        <v>0</v>
      </c>
      <c r="G15" s="250">
        <f>$H$12*D15*VLOOKUP(C15,E6:F8,2,FALSE)</f>
        <v>510967.74193548405</v>
      </c>
      <c r="H15" s="251">
        <f>G15+F15</f>
        <v>510967.74193548405</v>
      </c>
      <c r="I15" s="250">
        <f>IF(H15&gt;D15,D15,H15)</f>
        <v>510967.74193548405</v>
      </c>
      <c r="J15" s="252" t="str">
        <f>IF(H15&gt;D15,H15-D15,"0")</f>
        <v>0</v>
      </c>
      <c r="L15"/>
      <c r="M15"/>
      <c r="N15"/>
      <c r="O15"/>
      <c r="P15"/>
      <c r="Q15"/>
      <c r="R15"/>
      <c r="S15"/>
    </row>
    <row r="16" spans="1:19" x14ac:dyDescent="0.3">
      <c r="A16" s="226" t="s">
        <v>15</v>
      </c>
      <c r="B16" s="248">
        <v>0.57999999999999996</v>
      </c>
      <c r="C16" s="253">
        <f>RANK(B16,B14:B16,1)</f>
        <v>1</v>
      </c>
      <c r="D16" s="250">
        <f t="shared" si="0"/>
        <v>1155000</v>
      </c>
      <c r="E16" s="254">
        <f>H16/D16</f>
        <v>1.6774193548387102</v>
      </c>
      <c r="F16" s="288">
        <v>0</v>
      </c>
      <c r="G16" s="250">
        <f>$H$12*D16*VLOOKUP(C16,E6:F8,2,FALSE)</f>
        <v>1937419.3548387103</v>
      </c>
      <c r="H16" s="251">
        <f>G16+F16</f>
        <v>1937419.3548387103</v>
      </c>
      <c r="I16" s="255">
        <f>IF(H16&gt;D16,D16,H16)</f>
        <v>1155000</v>
      </c>
      <c r="J16" s="256">
        <f>IF(H16&gt;D16,H16-D16,"0")</f>
        <v>782419.35483871028</v>
      </c>
      <c r="L16"/>
      <c r="M16"/>
      <c r="N16"/>
      <c r="O16"/>
      <c r="P16"/>
      <c r="Q16"/>
      <c r="R16"/>
      <c r="S16"/>
    </row>
    <row r="17" spans="1:19" s="6" customFormat="1" ht="15.5" x14ac:dyDescent="0.35">
      <c r="A17" s="257" t="s">
        <v>19</v>
      </c>
      <c r="B17" s="258">
        <f>SUM(B14:B16)/3</f>
        <v>0.62</v>
      </c>
      <c r="C17" s="259"/>
      <c r="D17" s="260">
        <f>SUM(D14:D16)</f>
        <v>3300000</v>
      </c>
      <c r="E17" s="254">
        <f>H17/D17</f>
        <v>1.0000000000000002</v>
      </c>
      <c r="F17" s="261"/>
      <c r="G17" s="262"/>
      <c r="H17" s="263">
        <f>SUM(H14:H16)</f>
        <v>3300000.0000000009</v>
      </c>
      <c r="I17" s="264">
        <f>SUM(I14:I16)</f>
        <v>2490967.7419354841</v>
      </c>
      <c r="J17" s="265">
        <f>SUM(J14:J16)</f>
        <v>809032.25806451705</v>
      </c>
      <c r="L17"/>
      <c r="M17"/>
      <c r="N17"/>
      <c r="O17"/>
      <c r="P17"/>
      <c r="Q17"/>
      <c r="R17"/>
      <c r="S17"/>
    </row>
    <row r="18" spans="1:19" ht="15.5" x14ac:dyDescent="0.3">
      <c r="A18" s="158" t="s">
        <v>45</v>
      </c>
      <c r="B18" s="289">
        <v>0</v>
      </c>
      <c r="C18" s="272"/>
      <c r="D18" s="266"/>
      <c r="E18" s="267"/>
      <c r="F18" s="267"/>
      <c r="G18" s="267"/>
      <c r="H18" s="210"/>
      <c r="I18" s="210"/>
      <c r="J18" s="210"/>
      <c r="K18" s="210"/>
      <c r="L18"/>
      <c r="M18"/>
      <c r="N18"/>
      <c r="O18"/>
      <c r="P18"/>
      <c r="Q18"/>
      <c r="R18"/>
      <c r="S18"/>
    </row>
    <row r="19" spans="1:19" x14ac:dyDescent="0.3">
      <c r="B19" s="268"/>
      <c r="C19" s="215"/>
      <c r="D19" s="266"/>
      <c r="E19" s="267"/>
      <c r="F19" s="267"/>
      <c r="G19" s="267"/>
      <c r="H19" s="210"/>
      <c r="I19" s="210"/>
      <c r="J19" s="210"/>
      <c r="K19" s="210"/>
      <c r="L19"/>
      <c r="M19"/>
      <c r="N19"/>
      <c r="O19"/>
      <c r="P19"/>
      <c r="Q19"/>
      <c r="R19"/>
      <c r="S19"/>
    </row>
    <row r="20" spans="1:19" x14ac:dyDescent="0.3">
      <c r="A20" s="360" t="s">
        <v>44</v>
      </c>
      <c r="B20" s="361"/>
      <c r="C20" s="361"/>
      <c r="D20" s="361"/>
      <c r="E20" s="361"/>
      <c r="F20" s="361"/>
      <c r="G20" s="361"/>
      <c r="H20" s="361"/>
      <c r="I20" s="361"/>
      <c r="J20" s="362"/>
      <c r="K20" s="210"/>
      <c r="L20"/>
      <c r="M20"/>
      <c r="N20"/>
      <c r="O20"/>
      <c r="P20"/>
      <c r="Q20"/>
      <c r="R20"/>
      <c r="S20"/>
    </row>
    <row r="21" spans="1:19" ht="15.5" x14ac:dyDescent="0.3">
      <c r="A21" s="232" t="s">
        <v>31</v>
      </c>
      <c r="B21" s="238"/>
      <c r="C21" s="239"/>
      <c r="D21" s="240">
        <v>0.34</v>
      </c>
      <c r="E21" s="269"/>
      <c r="F21" s="241"/>
      <c r="G21" s="241" t="s">
        <v>40</v>
      </c>
      <c r="H21" s="284">
        <v>1.1428571428571428</v>
      </c>
      <c r="I21" s="284"/>
      <c r="J21" s="285"/>
      <c r="K21" s="210"/>
      <c r="L21"/>
      <c r="M21"/>
      <c r="N21"/>
      <c r="O21"/>
      <c r="P21"/>
      <c r="Q21"/>
      <c r="R21"/>
      <c r="S21"/>
    </row>
    <row r="22" spans="1:19" ht="28.5" x14ac:dyDescent="0.3">
      <c r="A22" s="242" t="s">
        <v>3</v>
      </c>
      <c r="B22" s="243" t="s">
        <v>54</v>
      </c>
      <c r="C22" s="243" t="s">
        <v>5</v>
      </c>
      <c r="D22" s="244" t="s">
        <v>21</v>
      </c>
      <c r="E22" s="245" t="s">
        <v>11</v>
      </c>
      <c r="F22" s="319" t="s">
        <v>57</v>
      </c>
      <c r="G22" s="154" t="s">
        <v>48</v>
      </c>
      <c r="H22" s="270" t="s">
        <v>22</v>
      </c>
      <c r="I22" s="243" t="s">
        <v>23</v>
      </c>
      <c r="J22" s="247" t="s">
        <v>12</v>
      </c>
      <c r="K22" s="210"/>
      <c r="L22"/>
      <c r="M22"/>
      <c r="N22"/>
      <c r="O22"/>
      <c r="P22"/>
      <c r="Q22"/>
      <c r="R22"/>
      <c r="S22"/>
    </row>
    <row r="23" spans="1:19" x14ac:dyDescent="0.3">
      <c r="A23" s="226" t="s">
        <v>9</v>
      </c>
      <c r="B23" s="248">
        <v>0.42199999999999999</v>
      </c>
      <c r="C23" s="249">
        <f>RANK(B23,B23:B25,1)</f>
        <v>3</v>
      </c>
      <c r="D23" s="250">
        <f>VLOOKUP(A23,$A$6:$C$8,2,FALSE)*$D$21</f>
        <v>850000.00000000012</v>
      </c>
      <c r="E23" s="230">
        <f>H23/D23</f>
        <v>0.3428571428571428</v>
      </c>
      <c r="F23" s="290">
        <v>0</v>
      </c>
      <c r="G23" s="250">
        <f>$H$21*D23*VLOOKUP(C23,E6:F8,2,FALSE)</f>
        <v>291428.57142857142</v>
      </c>
      <c r="H23" s="251">
        <f>G23+F23</f>
        <v>291428.57142857142</v>
      </c>
      <c r="I23" s="250">
        <f>IF(H23&gt;D23,D23,H23)</f>
        <v>291428.57142857142</v>
      </c>
      <c r="J23" s="252" t="str">
        <f>IF(H23&gt;D23,H23-D23,"0")</f>
        <v>0</v>
      </c>
      <c r="K23" s="210"/>
      <c r="L23"/>
      <c r="M23"/>
      <c r="N23"/>
      <c r="O23"/>
      <c r="P23"/>
      <c r="Q23"/>
      <c r="R23"/>
      <c r="S23"/>
    </row>
    <row r="24" spans="1:19" x14ac:dyDescent="0.3">
      <c r="A24" s="226" t="s">
        <v>13</v>
      </c>
      <c r="B24" s="248">
        <v>0.21199999999999999</v>
      </c>
      <c r="C24" s="215">
        <f>RANK(B24,B23:B25,1)</f>
        <v>1</v>
      </c>
      <c r="D24" s="250">
        <f t="shared" ref="D24:D25" si="1">VLOOKUP(A24,$A$6:$C$8,2,FALSE)*$D$21</f>
        <v>1360000</v>
      </c>
      <c r="E24" s="230">
        <f>H24/D24</f>
        <v>1.4857142857142855</v>
      </c>
      <c r="F24" s="290">
        <v>0</v>
      </c>
      <c r="G24" s="250">
        <f>$H$21*D24*VLOOKUP(C24,E6:F8,2,FALSE)</f>
        <v>2020571.4285714284</v>
      </c>
      <c r="H24" s="251">
        <f>G24+F24</f>
        <v>2020571.4285714284</v>
      </c>
      <c r="I24" s="250">
        <f>IF(H24&gt;D24,D24,H24)</f>
        <v>1360000</v>
      </c>
      <c r="J24" s="252">
        <f>IF(H24&gt;D24,H24-D24,"0")</f>
        <v>660571.42857142841</v>
      </c>
      <c r="K24" s="210"/>
      <c r="L24"/>
      <c r="M24"/>
      <c r="N24"/>
      <c r="O24"/>
      <c r="P24"/>
      <c r="Q24"/>
      <c r="R24"/>
      <c r="S24"/>
    </row>
    <row r="25" spans="1:19" x14ac:dyDescent="0.3">
      <c r="A25" s="226" t="s">
        <v>15</v>
      </c>
      <c r="B25" s="248">
        <v>0.38200000000000001</v>
      </c>
      <c r="C25" s="253">
        <f>RANK(B25,B23:B25,1)</f>
        <v>2</v>
      </c>
      <c r="D25" s="250">
        <f t="shared" si="1"/>
        <v>1190000</v>
      </c>
      <c r="E25" s="254">
        <f>H25/D25</f>
        <v>0.91428571428571426</v>
      </c>
      <c r="F25" s="290">
        <v>0</v>
      </c>
      <c r="G25" s="250">
        <f>$H$21*D25*VLOOKUP(C25,E6:F8,2,FALSE)</f>
        <v>1088000</v>
      </c>
      <c r="H25" s="251">
        <f>G25+F25</f>
        <v>1088000</v>
      </c>
      <c r="I25" s="255">
        <f>IF(H25&gt;D25,D25,H25)</f>
        <v>1088000</v>
      </c>
      <c r="J25" s="256" t="str">
        <f>IF(H25&gt;D25,H25-D25,"0")</f>
        <v>0</v>
      </c>
      <c r="K25" s="210"/>
      <c r="L25"/>
      <c r="M25"/>
      <c r="N25"/>
      <c r="O25"/>
      <c r="P25"/>
      <c r="Q25"/>
      <c r="R25"/>
      <c r="S25"/>
    </row>
    <row r="26" spans="1:19" x14ac:dyDescent="0.3">
      <c r="A26" s="257" t="s">
        <v>19</v>
      </c>
      <c r="B26" s="258">
        <f>SUM(B23:B25)/3</f>
        <v>0.33866666666666667</v>
      </c>
      <c r="C26" s="259"/>
      <c r="D26" s="260">
        <f>SUM(D23:D25)</f>
        <v>3400000</v>
      </c>
      <c r="E26" s="254">
        <f>H26/D26</f>
        <v>1</v>
      </c>
      <c r="F26" s="262"/>
      <c r="G26" s="262"/>
      <c r="H26" s="263">
        <f>SUM(H23:H25)</f>
        <v>3400000</v>
      </c>
      <c r="I26" s="264">
        <f>SUM(I23:I25)</f>
        <v>2739428.5714285714</v>
      </c>
      <c r="J26" s="265">
        <f>SUM(J23:J25)</f>
        <v>660571.42857142841</v>
      </c>
      <c r="K26" s="210"/>
      <c r="L26"/>
      <c r="M26"/>
      <c r="N26"/>
      <c r="O26"/>
      <c r="P26"/>
      <c r="Q26"/>
      <c r="R26"/>
      <c r="S26"/>
    </row>
    <row r="27" spans="1:19" ht="15.5" x14ac:dyDescent="0.3">
      <c r="A27" s="158" t="s">
        <v>45</v>
      </c>
      <c r="B27" s="289">
        <v>0</v>
      </c>
      <c r="C27" s="272"/>
      <c r="D27" s="266"/>
      <c r="E27" s="267"/>
      <c r="F27" s="267"/>
      <c r="G27" s="267"/>
      <c r="H27" s="210"/>
      <c r="I27" s="210"/>
      <c r="J27" s="210"/>
      <c r="K27" s="210"/>
      <c r="L27"/>
      <c r="M27"/>
      <c r="N27"/>
      <c r="O27"/>
      <c r="P27"/>
      <c r="Q27"/>
      <c r="R27"/>
      <c r="S27"/>
    </row>
    <row r="28" spans="1:19" x14ac:dyDescent="0.3">
      <c r="B28" s="271"/>
      <c r="C28" s="272"/>
      <c r="D28" s="266"/>
      <c r="E28" s="267"/>
      <c r="F28" s="267"/>
      <c r="G28" s="267"/>
      <c r="H28" s="210"/>
      <c r="I28" s="210"/>
      <c r="J28" s="210"/>
      <c r="K28" s="210"/>
      <c r="L28" s="215"/>
      <c r="M28" s="273"/>
      <c r="N28" s="216"/>
      <c r="O28" s="217"/>
      <c r="P28" s="218"/>
    </row>
    <row r="29" spans="1:19" x14ac:dyDescent="0.3">
      <c r="A29" s="360" t="s">
        <v>66</v>
      </c>
      <c r="B29" s="361"/>
      <c r="C29" s="361"/>
      <c r="D29" s="361"/>
      <c r="E29" s="361"/>
      <c r="F29" s="361"/>
      <c r="G29" s="361"/>
      <c r="H29" s="361"/>
      <c r="I29" s="361"/>
      <c r="J29" s="362"/>
      <c r="K29" s="210"/>
      <c r="L29"/>
      <c r="M29"/>
      <c r="N29"/>
      <c r="O29"/>
      <c r="P29"/>
      <c r="Q29"/>
      <c r="R29"/>
      <c r="S29"/>
    </row>
    <row r="30" spans="1:19" ht="15.5" x14ac:dyDescent="0.3">
      <c r="A30" s="232" t="s">
        <v>31</v>
      </c>
      <c r="B30" s="238"/>
      <c r="C30" s="239"/>
      <c r="D30" s="240">
        <v>0.33</v>
      </c>
      <c r="E30" s="269"/>
      <c r="F30" s="241"/>
      <c r="G30" s="241" t="s">
        <v>40</v>
      </c>
      <c r="H30" s="284">
        <v>1.2903225806451604</v>
      </c>
      <c r="I30" s="284"/>
      <c r="J30" s="285"/>
      <c r="K30" s="210"/>
      <c r="L30"/>
      <c r="M30"/>
      <c r="N30"/>
      <c r="O30"/>
      <c r="P30"/>
      <c r="Q30"/>
      <c r="R30"/>
      <c r="S30"/>
    </row>
    <row r="31" spans="1:19" ht="28.5" x14ac:dyDescent="0.3">
      <c r="A31" s="242" t="s">
        <v>3</v>
      </c>
      <c r="B31" s="243" t="s">
        <v>54</v>
      </c>
      <c r="C31" s="274" t="s">
        <v>5</v>
      </c>
      <c r="D31" s="244" t="s">
        <v>21</v>
      </c>
      <c r="E31" s="245" t="s">
        <v>11</v>
      </c>
      <c r="F31" s="319" t="s">
        <v>57</v>
      </c>
      <c r="G31" s="154" t="s">
        <v>48</v>
      </c>
      <c r="H31" s="270" t="s">
        <v>22</v>
      </c>
      <c r="I31" s="243" t="s">
        <v>23</v>
      </c>
      <c r="J31" s="247" t="s">
        <v>12</v>
      </c>
      <c r="K31" s="210"/>
      <c r="L31"/>
      <c r="M31"/>
      <c r="N31"/>
      <c r="O31"/>
      <c r="P31"/>
      <c r="Q31"/>
      <c r="R31"/>
      <c r="S31"/>
    </row>
    <row r="32" spans="1:19" x14ac:dyDescent="0.3">
      <c r="A32" s="226" t="s">
        <v>9</v>
      </c>
      <c r="B32" s="275">
        <v>0.59399999999999997</v>
      </c>
      <c r="C32" s="249">
        <f>RANK(B32,B32:B34,0)</f>
        <v>2</v>
      </c>
      <c r="D32" s="276">
        <f>VLOOKUP(A32,$A$6:$C$8,2,FALSE)*$D$30</f>
        <v>825000</v>
      </c>
      <c r="E32" s="277">
        <f>H32/D32</f>
        <v>1.0322580645161283</v>
      </c>
      <c r="F32" s="288">
        <v>0</v>
      </c>
      <c r="G32" s="250">
        <f>$H$30*D32*VLOOKUP(C32,E6:F8,2,FALSE)</f>
        <v>851612.90322580584</v>
      </c>
      <c r="H32" s="251">
        <f>G32+F32</f>
        <v>851612.90322580584</v>
      </c>
      <c r="I32" s="250">
        <f>IF(H32&gt;D32,D32,H32)</f>
        <v>825000</v>
      </c>
      <c r="J32" s="252">
        <f>IF(H32&gt;D32,H32-D32,"0")</f>
        <v>26612.903225805843</v>
      </c>
      <c r="K32" s="210"/>
      <c r="L32"/>
      <c r="M32"/>
      <c r="N32"/>
      <c r="O32"/>
      <c r="P32"/>
      <c r="Q32"/>
      <c r="R32"/>
      <c r="S32"/>
    </row>
    <row r="33" spans="1:19" x14ac:dyDescent="0.3">
      <c r="A33" s="226" t="s">
        <v>13</v>
      </c>
      <c r="B33" s="248">
        <v>0.38400000000000001</v>
      </c>
      <c r="C33" s="215">
        <f t="shared" ref="C33:C34" si="2">RANK(B33,B33:B35,0)</f>
        <v>3</v>
      </c>
      <c r="D33" s="250">
        <f>VLOOKUP(A33,$A$6:$C$8,2,FALSE)*$D$30</f>
        <v>1320000</v>
      </c>
      <c r="E33" s="230">
        <f>H33/D33</f>
        <v>0.3870967741935481</v>
      </c>
      <c r="F33" s="288">
        <v>0</v>
      </c>
      <c r="G33" s="250">
        <f>$H$30*D33*VLOOKUP(C33,E6:F8,2,FALSE)</f>
        <v>510967.74193548347</v>
      </c>
      <c r="H33" s="251">
        <f>G33+F33</f>
        <v>510967.74193548347</v>
      </c>
      <c r="I33" s="250">
        <f>IF(H33&gt;D33,D33,H33)</f>
        <v>510967.74193548347</v>
      </c>
      <c r="J33" s="252" t="str">
        <f>IF(H33&gt;D33,H33-D33,"0")</f>
        <v>0</v>
      </c>
      <c r="K33" s="210"/>
      <c r="L33"/>
      <c r="M33"/>
      <c r="N33"/>
      <c r="O33"/>
      <c r="P33"/>
      <c r="Q33"/>
      <c r="R33"/>
      <c r="S33"/>
    </row>
    <row r="34" spans="1:19" x14ac:dyDescent="0.3">
      <c r="A34" s="226" t="s">
        <v>15</v>
      </c>
      <c r="B34" s="278">
        <v>0.61399999999999999</v>
      </c>
      <c r="C34" s="253">
        <f t="shared" si="2"/>
        <v>1</v>
      </c>
      <c r="D34" s="255">
        <f>VLOOKUP(A34,$A$6:$C$8,2,FALSE)*$D$30</f>
        <v>1155000</v>
      </c>
      <c r="E34" s="254">
        <f>H34/D34</f>
        <v>1.6774193548387086</v>
      </c>
      <c r="F34" s="288">
        <v>0</v>
      </c>
      <c r="G34" s="250">
        <f>$H$30*D34*VLOOKUP(C34,E6:F8,2,FALSE)</f>
        <v>1937419.3548387084</v>
      </c>
      <c r="H34" s="251">
        <f>G34+F34</f>
        <v>1937419.3548387084</v>
      </c>
      <c r="I34" s="255">
        <f>IF(H34&gt;D34,D34,H34)</f>
        <v>1155000</v>
      </c>
      <c r="J34" s="256">
        <f>IF(H34&gt;D34,H34-D34,"0")</f>
        <v>782419.35483870842</v>
      </c>
      <c r="K34" s="210"/>
      <c r="L34"/>
      <c r="M34"/>
      <c r="N34"/>
      <c r="O34"/>
      <c r="P34"/>
      <c r="Q34"/>
      <c r="R34"/>
      <c r="S34"/>
    </row>
    <row r="35" spans="1:19" x14ac:dyDescent="0.3">
      <c r="A35" s="257" t="s">
        <v>19</v>
      </c>
      <c r="B35" s="258">
        <f>SUM(B32:B34)/3</f>
        <v>0.53066666666666673</v>
      </c>
      <c r="C35" s="253"/>
      <c r="D35" s="260">
        <f>SUM(D32:D34)</f>
        <v>3300000</v>
      </c>
      <c r="E35" s="254">
        <f>H35/D35</f>
        <v>0.99999999999999933</v>
      </c>
      <c r="F35" s="261"/>
      <c r="G35" s="262"/>
      <c r="H35" s="263">
        <f>SUM(H32:H34)</f>
        <v>3299999.9999999977</v>
      </c>
      <c r="I35" s="264">
        <f>SUM(I32:I34)</f>
        <v>2490967.7419354832</v>
      </c>
      <c r="J35" s="265">
        <f>SUM(J32:J34)</f>
        <v>809032.25806451426</v>
      </c>
      <c r="K35" s="210"/>
      <c r="L35"/>
      <c r="M35"/>
      <c r="N35"/>
      <c r="O35"/>
      <c r="P35"/>
      <c r="Q35"/>
      <c r="R35"/>
      <c r="S35"/>
    </row>
    <row r="36" spans="1:19" ht="15.5" x14ac:dyDescent="0.3">
      <c r="A36" s="158" t="s">
        <v>45</v>
      </c>
      <c r="B36" s="289">
        <v>0</v>
      </c>
      <c r="C36" s="272"/>
      <c r="D36" s="266"/>
      <c r="E36" s="267"/>
      <c r="F36" s="267"/>
      <c r="G36" s="267"/>
      <c r="H36" s="210"/>
      <c r="I36" s="210"/>
      <c r="J36" s="210"/>
      <c r="K36" s="210"/>
      <c r="L36"/>
      <c r="M36"/>
      <c r="N36"/>
      <c r="O36"/>
      <c r="P36"/>
      <c r="Q36"/>
      <c r="R36"/>
      <c r="S36"/>
    </row>
    <row r="37" spans="1:19" x14ac:dyDescent="0.3">
      <c r="B37" s="271"/>
      <c r="C37" s="272"/>
      <c r="D37" s="266"/>
      <c r="E37" s="267"/>
      <c r="F37" s="267"/>
      <c r="G37" s="267"/>
      <c r="H37" s="210"/>
      <c r="I37" s="210"/>
      <c r="J37" s="210"/>
      <c r="K37" s="210"/>
      <c r="L37" s="215"/>
      <c r="M37" s="273"/>
      <c r="N37" s="216"/>
      <c r="O37" s="217"/>
      <c r="P37" s="218"/>
    </row>
    <row r="38" spans="1:19" x14ac:dyDescent="0.3">
      <c r="A38"/>
      <c r="B38"/>
      <c r="C38"/>
      <c r="D38"/>
      <c r="E38"/>
      <c r="F38"/>
      <c r="G38"/>
      <c r="H38"/>
      <c r="I38"/>
      <c r="J38"/>
      <c r="K38" s="210"/>
    </row>
    <row r="39" spans="1:19" x14ac:dyDescent="0.3">
      <c r="A39" s="360" t="s">
        <v>24</v>
      </c>
      <c r="B39" s="361"/>
      <c r="C39" s="361"/>
      <c r="D39" s="361"/>
      <c r="E39" s="361"/>
      <c r="F39" s="361"/>
      <c r="G39" s="361"/>
      <c r="H39" s="361"/>
      <c r="I39" s="361"/>
      <c r="J39" s="362"/>
      <c r="K39" s="210"/>
    </row>
    <row r="40" spans="1:19" x14ac:dyDescent="0.3">
      <c r="A40" s="232"/>
      <c r="B40" s="238"/>
      <c r="C40" s="239"/>
      <c r="D40" s="240">
        <v>1</v>
      </c>
      <c r="E40" s="241"/>
      <c r="F40" s="241"/>
      <c r="G40" s="241"/>
      <c r="H40" s="284"/>
      <c r="I40" s="284"/>
      <c r="J40" s="285"/>
      <c r="K40" s="210"/>
    </row>
    <row r="41" spans="1:19" ht="28.5" x14ac:dyDescent="0.3">
      <c r="A41" s="222" t="s">
        <v>3</v>
      </c>
      <c r="B41" s="274"/>
      <c r="C41" s="274" t="s">
        <v>5</v>
      </c>
      <c r="D41" s="244" t="s">
        <v>21</v>
      </c>
      <c r="E41" s="245" t="s">
        <v>11</v>
      </c>
      <c r="F41" s="319" t="s">
        <v>57</v>
      </c>
      <c r="G41" s="154" t="s">
        <v>48</v>
      </c>
      <c r="H41" s="270" t="s">
        <v>22</v>
      </c>
      <c r="I41" s="243" t="s">
        <v>23</v>
      </c>
      <c r="J41" s="247" t="s">
        <v>12</v>
      </c>
      <c r="K41" s="210"/>
    </row>
    <row r="42" spans="1:19" x14ac:dyDescent="0.3">
      <c r="A42" s="325" t="s">
        <v>9</v>
      </c>
      <c r="B42" s="326"/>
      <c r="C42" s="249">
        <f>RANK(E42,E42:E44)</f>
        <v>2</v>
      </c>
      <c r="D42" s="188">
        <f>SUMIF($A$11:$A$38,A42,$D$11:$D$38)+SUMIF($L$14:$L$26,A42,$O$14:$O$26)</f>
        <v>2500000</v>
      </c>
      <c r="E42" s="230">
        <f>H42/D42</f>
        <v>0.79786175115207358</v>
      </c>
      <c r="F42" s="290">
        <f>SUMIF($A$11:$A$38,A42,$F$11:$F$38)</f>
        <v>0</v>
      </c>
      <c r="G42" s="250">
        <f>SUMIF($A$11:$A$38,A42,$G$11:$G$38)</f>
        <v>1994654.377880184</v>
      </c>
      <c r="H42" s="251">
        <f>G42+F42</f>
        <v>1994654.377880184</v>
      </c>
      <c r="I42" s="250">
        <f>SUMIF($A$11:$A$38,A42,$I$11:$I$38)</f>
        <v>1941428.5714285714</v>
      </c>
      <c r="J42" s="279">
        <f>SUMIF($A$11:$A$38,A42,$J$11:$J$38)</f>
        <v>53225.806451612618</v>
      </c>
      <c r="K42" s="210"/>
    </row>
    <row r="43" spans="1:19" x14ac:dyDescent="0.3">
      <c r="A43" s="226" t="s">
        <v>13</v>
      </c>
      <c r="B43" s="280"/>
      <c r="C43" s="215">
        <f>RANK(E43,E42:E44)</f>
        <v>3</v>
      </c>
      <c r="D43" s="188">
        <f>SUMIF($A$11:$A$38,A43,$D$11:$D$38)+SUMIF($L$14:$L$26,A43,$O$14:$O$26)</f>
        <v>4000000</v>
      </c>
      <c r="E43" s="230">
        <f>H43/D43</f>
        <v>0.76062672811059895</v>
      </c>
      <c r="F43" s="290">
        <f t="shared" ref="F43:F44" si="3">SUMIF($A$11:$A$38,A43,$F$11:$F$38)</f>
        <v>0</v>
      </c>
      <c r="G43" s="250">
        <f t="shared" ref="G43:G44" si="4">SUMIF($A$11:$A$38,A43,$G$11:$G$38)</f>
        <v>3042506.9124423959</v>
      </c>
      <c r="H43" s="251">
        <f>G43+F43</f>
        <v>3042506.9124423959</v>
      </c>
      <c r="I43" s="250">
        <f>SUMIF($A$11:$A$38,A43,$I$11:$I$38)</f>
        <v>2381935.4838709678</v>
      </c>
      <c r="J43" s="252">
        <f>SUMIF($A$11:$A$38,A43,$J$11:$J$38)</f>
        <v>660571.42857142841</v>
      </c>
      <c r="K43" s="210"/>
    </row>
    <row r="44" spans="1:19" x14ac:dyDescent="0.3">
      <c r="A44" s="232" t="s">
        <v>15</v>
      </c>
      <c r="B44" s="238"/>
      <c r="C44" s="253">
        <f>RANK(E44,E42:E44)</f>
        <v>1</v>
      </c>
      <c r="D44" s="188">
        <f>SUMIF($A$11:$A$38,A44,$D$11:$D$38)+SUMIF($L$14:$L$26,A44,$O$14:$O$26)</f>
        <v>3500000</v>
      </c>
      <c r="E44" s="230">
        <f>H44/D44</f>
        <v>1.417953917050691</v>
      </c>
      <c r="F44" s="290">
        <f t="shared" si="3"/>
        <v>0</v>
      </c>
      <c r="G44" s="250">
        <f t="shared" si="4"/>
        <v>4962838.7096774187</v>
      </c>
      <c r="H44" s="251">
        <f>G44+F44</f>
        <v>4962838.7096774187</v>
      </c>
      <c r="I44" s="255">
        <f>SUMIF($A$11:$A$38,A44,$I$11:$I$38)</f>
        <v>3398000</v>
      </c>
      <c r="J44" s="281">
        <f>SUMIF($A$11:$A$38,A44,$J$11:$J$38)</f>
        <v>1564838.7096774187</v>
      </c>
      <c r="K44" s="210"/>
    </row>
    <row r="45" spans="1:19" x14ac:dyDescent="0.3">
      <c r="A45" s="232" t="s">
        <v>19</v>
      </c>
      <c r="B45" s="253"/>
      <c r="C45" s="253"/>
      <c r="D45" s="282">
        <f>SUM(D42:D44)</f>
        <v>10000000</v>
      </c>
      <c r="E45" s="262">
        <f>H45/D45</f>
        <v>0.99999999999999978</v>
      </c>
      <c r="F45" s="262"/>
      <c r="G45" s="262"/>
      <c r="H45" s="263">
        <f>SUM(H42:H44)</f>
        <v>9999999.9999999981</v>
      </c>
      <c r="I45" s="264">
        <f>SUM(I42:I44)</f>
        <v>7721364.0552995391</v>
      </c>
      <c r="J45" s="283">
        <f>SUM(J42:J44)</f>
        <v>2278635.9447004599</v>
      </c>
      <c r="K45" s="210"/>
    </row>
    <row r="46" spans="1:19" x14ac:dyDescent="0.3">
      <c r="K46" s="210"/>
      <c r="Q46" s="219" t="s">
        <v>32</v>
      </c>
    </row>
    <row r="47" spans="1:19" x14ac:dyDescent="0.3">
      <c r="A47" s="339" t="s">
        <v>41</v>
      </c>
      <c r="B47" s="339"/>
      <c r="C47" s="339"/>
      <c r="D47" s="339"/>
      <c r="E47" s="339"/>
      <c r="F47" s="339"/>
      <c r="K47" s="210"/>
    </row>
    <row r="48" spans="1:19" x14ac:dyDescent="0.3">
      <c r="A48" s="156" t="s">
        <v>43</v>
      </c>
      <c r="B48" s="330"/>
      <c r="C48" s="146"/>
      <c r="D48" s="330"/>
      <c r="E48" s="330"/>
      <c r="F48" s="330"/>
      <c r="K48" s="210"/>
    </row>
    <row r="49" spans="1:13" x14ac:dyDescent="0.3">
      <c r="A49" s="156" t="s">
        <v>51</v>
      </c>
      <c r="C49" s="215"/>
      <c r="D49" s="266"/>
      <c r="E49" s="267"/>
      <c r="F49" s="267"/>
      <c r="K49" s="210"/>
      <c r="L49" s="219"/>
      <c r="M49" s="219"/>
    </row>
    <row r="50" spans="1:13" x14ac:dyDescent="0.3">
      <c r="A50" s="280" t="s">
        <v>58</v>
      </c>
      <c r="C50" s="215"/>
      <c r="D50" s="266"/>
      <c r="E50" s="267"/>
      <c r="F50" s="267"/>
      <c r="K50" s="210"/>
      <c r="L50" s="219"/>
      <c r="M50" s="219"/>
    </row>
    <row r="51" spans="1:13" x14ac:dyDescent="0.3">
      <c r="K51" s="210"/>
      <c r="L51" s="219"/>
      <c r="M51" s="219"/>
    </row>
    <row r="52" spans="1:13" x14ac:dyDescent="0.3">
      <c r="K52" s="210"/>
      <c r="L52" s="219"/>
      <c r="M52" s="219"/>
    </row>
    <row r="53" spans="1:13" x14ac:dyDescent="0.3">
      <c r="A53" s="219"/>
      <c r="B53" s="219"/>
      <c r="C53" s="219"/>
      <c r="D53" s="219"/>
      <c r="E53" s="219"/>
      <c r="F53" s="219"/>
      <c r="G53" s="219"/>
      <c r="K53" s="210"/>
      <c r="L53" s="219"/>
      <c r="M53" s="219"/>
    </row>
    <row r="54" spans="1:13" x14ac:dyDescent="0.3">
      <c r="A54" s="219"/>
      <c r="B54" s="219"/>
      <c r="C54" s="219"/>
      <c r="D54" s="219"/>
      <c r="E54" s="219"/>
      <c r="F54" s="219"/>
      <c r="G54" s="219"/>
      <c r="K54" s="210"/>
      <c r="L54" s="219"/>
      <c r="M54" s="219"/>
    </row>
    <row r="55" spans="1:13" x14ac:dyDescent="0.3">
      <c r="A55" s="219"/>
      <c r="B55" s="219"/>
      <c r="C55" s="219"/>
      <c r="D55" s="219"/>
      <c r="E55" s="219"/>
      <c r="F55" s="219"/>
      <c r="G55" s="219"/>
      <c r="K55" s="210"/>
      <c r="L55" s="219"/>
      <c r="M55" s="219"/>
    </row>
    <row r="56" spans="1:13" x14ac:dyDescent="0.3">
      <c r="A56" s="219"/>
      <c r="B56" s="219"/>
      <c r="C56" s="219"/>
      <c r="D56" s="219"/>
      <c r="E56" s="219"/>
      <c r="F56" s="219"/>
      <c r="G56" s="219"/>
      <c r="K56" s="210"/>
      <c r="L56" s="219"/>
      <c r="M56" s="219"/>
    </row>
    <row r="57" spans="1:13" x14ac:dyDescent="0.3">
      <c r="A57" s="219"/>
      <c r="B57" s="219"/>
      <c r="C57" s="219"/>
      <c r="D57" s="219"/>
      <c r="E57" s="219"/>
      <c r="F57" s="219"/>
      <c r="G57" s="219"/>
      <c r="K57" s="210"/>
      <c r="L57" s="219"/>
      <c r="M57" s="219"/>
    </row>
    <row r="58" spans="1:13" x14ac:dyDescent="0.3">
      <c r="A58" s="219"/>
      <c r="B58" s="219"/>
      <c r="C58" s="219"/>
      <c r="D58" s="219"/>
      <c r="E58" s="219"/>
      <c r="F58" s="219"/>
      <c r="G58" s="219"/>
      <c r="K58" s="210"/>
      <c r="L58" s="219"/>
      <c r="M58" s="219"/>
    </row>
    <row r="59" spans="1:13" x14ac:dyDescent="0.3">
      <c r="A59" s="219"/>
      <c r="B59" s="219"/>
      <c r="C59" s="219"/>
      <c r="D59" s="219"/>
      <c r="E59" s="219"/>
      <c r="F59" s="219"/>
      <c r="G59" s="219"/>
      <c r="K59" s="210"/>
      <c r="L59" s="219"/>
      <c r="M59" s="219"/>
    </row>
    <row r="60" spans="1:13" x14ac:dyDescent="0.3">
      <c r="A60" s="219"/>
      <c r="B60" s="219"/>
      <c r="C60" s="219"/>
      <c r="D60" s="219"/>
      <c r="E60" s="219"/>
      <c r="F60" s="219"/>
      <c r="G60" s="219"/>
      <c r="K60" s="210"/>
      <c r="L60" s="219"/>
      <c r="M60" s="219"/>
    </row>
    <row r="61" spans="1:13" ht="10.5" x14ac:dyDescent="0.25">
      <c r="A61" s="219"/>
      <c r="B61" s="219"/>
      <c r="C61" s="219"/>
      <c r="D61" s="219"/>
      <c r="E61" s="219"/>
      <c r="F61" s="219"/>
      <c r="G61" s="219"/>
      <c r="L61" s="219"/>
      <c r="M61" s="219"/>
    </row>
    <row r="62" spans="1:13" ht="10.5" x14ac:dyDescent="0.25">
      <c r="A62" s="219"/>
      <c r="B62" s="219"/>
      <c r="C62" s="219"/>
      <c r="D62" s="219"/>
      <c r="E62" s="219"/>
      <c r="F62" s="219"/>
      <c r="G62" s="219"/>
      <c r="L62" s="219"/>
      <c r="M62" s="219"/>
    </row>
    <row r="63" spans="1:13" ht="10.5" x14ac:dyDescent="0.25">
      <c r="A63" s="219"/>
      <c r="B63" s="219"/>
      <c r="C63" s="219"/>
      <c r="D63" s="219"/>
      <c r="E63" s="219"/>
      <c r="F63" s="219"/>
      <c r="G63" s="219"/>
      <c r="L63" s="219"/>
      <c r="M63" s="219"/>
    </row>
    <row r="64" spans="1:13" ht="10.5" x14ac:dyDescent="0.25">
      <c r="A64" s="219"/>
      <c r="B64" s="219"/>
      <c r="C64" s="219"/>
      <c r="D64" s="219"/>
      <c r="E64" s="219"/>
      <c r="F64" s="219"/>
      <c r="G64" s="219"/>
      <c r="L64" s="219"/>
      <c r="M64" s="219"/>
    </row>
    <row r="65" spans="1:13" ht="10.5" x14ac:dyDescent="0.25">
      <c r="A65" s="219"/>
      <c r="B65" s="219"/>
      <c r="C65" s="219"/>
      <c r="D65" s="219"/>
      <c r="E65" s="219"/>
      <c r="F65" s="219"/>
      <c r="G65" s="219"/>
      <c r="L65" s="219"/>
      <c r="M65" s="219"/>
    </row>
    <row r="66" spans="1:13" ht="10.5" x14ac:dyDescent="0.25">
      <c r="A66" s="219"/>
      <c r="B66" s="219"/>
      <c r="C66" s="219"/>
      <c r="D66" s="219"/>
      <c r="E66" s="219"/>
      <c r="F66" s="219"/>
      <c r="G66" s="219"/>
      <c r="L66" s="219"/>
      <c r="M66" s="219"/>
    </row>
    <row r="67" spans="1:13" ht="10.5" x14ac:dyDescent="0.25">
      <c r="A67" s="219"/>
      <c r="B67" s="219"/>
      <c r="C67" s="219"/>
      <c r="D67" s="219"/>
      <c r="E67" s="219"/>
      <c r="F67" s="219"/>
      <c r="G67" s="219"/>
      <c r="L67" s="219"/>
      <c r="M67" s="219"/>
    </row>
    <row r="68" spans="1:13" ht="10.5" x14ac:dyDescent="0.25">
      <c r="A68" s="219"/>
      <c r="B68" s="219"/>
      <c r="C68" s="219"/>
      <c r="D68" s="219"/>
      <c r="E68" s="219"/>
      <c r="F68" s="219"/>
      <c r="G68" s="219"/>
      <c r="L68" s="219"/>
      <c r="M68" s="219"/>
    </row>
    <row r="69" spans="1:13" ht="10.5" x14ac:dyDescent="0.25">
      <c r="A69" s="219"/>
      <c r="B69" s="219"/>
      <c r="C69" s="219"/>
      <c r="D69" s="219"/>
      <c r="E69" s="219"/>
      <c r="F69" s="219"/>
      <c r="G69" s="219"/>
      <c r="L69" s="219"/>
      <c r="M69" s="219"/>
    </row>
    <row r="70" spans="1:13" ht="10.5" x14ac:dyDescent="0.25">
      <c r="A70" s="219"/>
      <c r="B70" s="219"/>
      <c r="C70" s="219"/>
      <c r="D70" s="219"/>
      <c r="E70" s="219"/>
      <c r="F70" s="219"/>
      <c r="G70" s="219"/>
      <c r="L70" s="219"/>
      <c r="M70" s="219"/>
    </row>
    <row r="71" spans="1:13" ht="10.5" x14ac:dyDescent="0.25">
      <c r="A71" s="219"/>
      <c r="B71" s="219"/>
      <c r="C71" s="219"/>
      <c r="D71" s="219"/>
      <c r="E71" s="219"/>
      <c r="F71" s="219"/>
      <c r="G71" s="219"/>
      <c r="L71" s="219"/>
      <c r="M71" s="219"/>
    </row>
    <row r="72" spans="1:13" ht="10.5" x14ac:dyDescent="0.25">
      <c r="A72" s="219"/>
      <c r="B72" s="219"/>
      <c r="C72" s="219"/>
      <c r="D72" s="219"/>
      <c r="E72" s="219"/>
      <c r="F72" s="219"/>
      <c r="G72" s="219"/>
      <c r="L72" s="219"/>
      <c r="M72" s="219"/>
    </row>
    <row r="73" spans="1:13" ht="10.5" x14ac:dyDescent="0.25">
      <c r="A73" s="219"/>
      <c r="B73" s="219"/>
      <c r="C73" s="219"/>
      <c r="D73" s="219"/>
      <c r="E73" s="219"/>
      <c r="F73" s="219"/>
      <c r="G73" s="219"/>
      <c r="L73" s="219"/>
      <c r="M73" s="219"/>
    </row>
    <row r="74" spans="1:13" ht="10.5" x14ac:dyDescent="0.25">
      <c r="A74" s="219"/>
      <c r="B74" s="219"/>
      <c r="C74" s="219"/>
      <c r="D74" s="219"/>
      <c r="E74" s="219"/>
      <c r="F74" s="219"/>
      <c r="G74" s="219"/>
      <c r="L74" s="219"/>
      <c r="M74" s="219"/>
    </row>
    <row r="75" spans="1:13" x14ac:dyDescent="0.3">
      <c r="A75" s="219"/>
      <c r="B75" s="219"/>
      <c r="C75" s="219"/>
      <c r="D75" s="219"/>
      <c r="E75" s="219"/>
      <c r="F75" s="219"/>
      <c r="G75" s="219"/>
    </row>
    <row r="76" spans="1:13" x14ac:dyDescent="0.3">
      <c r="A76" s="219"/>
      <c r="B76" s="219"/>
      <c r="C76" s="219"/>
      <c r="D76" s="219"/>
      <c r="E76" s="219"/>
      <c r="F76" s="219"/>
      <c r="G76" s="219"/>
    </row>
    <row r="77" spans="1:13" x14ac:dyDescent="0.3">
      <c r="A77" s="219"/>
      <c r="B77" s="219"/>
      <c r="C77" s="219"/>
      <c r="D77" s="219"/>
      <c r="E77" s="219"/>
      <c r="F77" s="219"/>
      <c r="G77" s="219"/>
    </row>
    <row r="78" spans="1:13" x14ac:dyDescent="0.3">
      <c r="A78" s="219"/>
      <c r="B78" s="219"/>
      <c r="C78" s="219"/>
      <c r="D78" s="219"/>
      <c r="E78" s="219"/>
      <c r="F78" s="219"/>
      <c r="G78" s="219"/>
    </row>
    <row r="79" spans="1:13" x14ac:dyDescent="0.3">
      <c r="A79" s="219"/>
      <c r="B79" s="219"/>
      <c r="C79" s="219"/>
      <c r="D79" s="219"/>
      <c r="E79" s="219"/>
      <c r="F79" s="219"/>
      <c r="G79" s="219"/>
    </row>
    <row r="80" spans="1:13" x14ac:dyDescent="0.3">
      <c r="A80" s="219"/>
      <c r="B80" s="219"/>
      <c r="C80" s="219"/>
      <c r="D80" s="219"/>
      <c r="E80" s="219"/>
      <c r="F80" s="219"/>
      <c r="G80" s="219"/>
    </row>
    <row r="81" spans="1:11" x14ac:dyDescent="0.3">
      <c r="A81" s="219"/>
      <c r="B81" s="219"/>
      <c r="C81" s="219"/>
      <c r="D81" s="219"/>
      <c r="E81" s="219"/>
      <c r="F81" s="219"/>
      <c r="G81" s="219"/>
      <c r="K81" s="231"/>
    </row>
    <row r="82" spans="1:11" x14ac:dyDescent="0.3">
      <c r="A82" s="219"/>
      <c r="B82" s="219"/>
      <c r="C82" s="219"/>
      <c r="D82" s="219"/>
      <c r="E82" s="219"/>
      <c r="F82" s="219"/>
      <c r="G82" s="219"/>
    </row>
  </sheetData>
  <mergeCells count="10">
    <mergeCell ref="B6:C6"/>
    <mergeCell ref="B5:C5"/>
    <mergeCell ref="A39:J39"/>
    <mergeCell ref="A47:F47"/>
    <mergeCell ref="B7:C7"/>
    <mergeCell ref="B8:C8"/>
    <mergeCell ref="B9:C9"/>
    <mergeCell ref="A11:J11"/>
    <mergeCell ref="A20:J20"/>
    <mergeCell ref="A29:J29"/>
  </mergeCells>
  <pageMargins left="0.7" right="0.7" top="0.75" bottom="0.75" header="0.3" footer="0.3"/>
  <pageSetup scale="53" orientation="landscape" r:id="rId1"/>
  <headerFooter>
    <oddHeader xml:space="preserve">&amp;L&amp;G&amp;C&amp;"Times New Roman,Bold"&amp;12ACOM Policy 306, Attachment B -
APM Quality Performance Measure Scores - ALTCS E/PD
For the Contract Year ending 09/30/21
&amp;K000000
</oddHeader>
    <oddFooter>&amp;L&amp;"Times New Roman,Bold"Effective Dates: 10/01/20, 10/01/21, 09/30/22
Approval Dates: 04/13/21, 09/22/21, 10/06/22&amp;C&amp;"Times New Roman,Bold"&amp;12 306, Attachment B - 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3"/>
  <sheetViews>
    <sheetView tabSelected="1" view="pageLayout" topLeftCell="A165" zoomScale="175" zoomScaleNormal="100" zoomScalePageLayoutView="175" workbookViewId="0">
      <selection activeCell="E86" sqref="E86"/>
    </sheetView>
  </sheetViews>
  <sheetFormatPr defaultColWidth="9.1796875" defaultRowHeight="15.5" x14ac:dyDescent="0.35"/>
  <cols>
    <col min="1" max="1" width="23" style="36" customWidth="1"/>
    <col min="2" max="2" width="8" style="36" customWidth="1"/>
    <col min="3" max="3" width="9.453125" style="36" customWidth="1"/>
    <col min="4" max="4" width="12.7265625" style="37" bestFit="1" customWidth="1"/>
    <col min="5" max="5" width="9.26953125" style="38" customWidth="1"/>
    <col min="6" max="6" width="15" style="7" customWidth="1"/>
    <col min="7" max="7" width="12" style="7" customWidth="1"/>
    <col min="8" max="8" width="14.453125" style="7" bestFit="1" customWidth="1"/>
    <col min="9" max="9" width="4.26953125" style="7" customWidth="1"/>
    <col min="10" max="10" width="20.81640625" style="7" customWidth="1"/>
    <col min="11" max="11" width="9.1796875" style="7"/>
    <col min="12" max="12" width="9.26953125" style="7" customWidth="1"/>
    <col min="13" max="13" width="12.1796875" style="7" customWidth="1"/>
    <col min="14" max="14" width="9.26953125" style="7" customWidth="1"/>
    <col min="15" max="15" width="17.1796875" style="7" bestFit="1" customWidth="1"/>
    <col min="16" max="16" width="15.54296875" style="7" bestFit="1" customWidth="1"/>
    <col min="17" max="17" width="11.453125" style="7" customWidth="1"/>
    <col min="18" max="18" width="11.26953125" style="7" customWidth="1"/>
    <col min="19" max="19" width="9.1796875" style="7"/>
    <col min="20" max="20" width="11.1796875" style="7" customWidth="1"/>
    <col min="21" max="16384" width="9.1796875" style="7"/>
  </cols>
  <sheetData>
    <row r="1" spans="1:17" x14ac:dyDescent="0.35">
      <c r="A1" s="1" t="s">
        <v>0</v>
      </c>
      <c r="L1" s="2"/>
    </row>
    <row r="2" spans="1:17" x14ac:dyDescent="0.35">
      <c r="L2" s="2"/>
    </row>
    <row r="3" spans="1:17" x14ac:dyDescent="0.35">
      <c r="A3" s="3" t="s">
        <v>28</v>
      </c>
      <c r="B3" s="4"/>
      <c r="C3" s="5">
        <v>0.01</v>
      </c>
      <c r="E3" s="1" t="s">
        <v>2</v>
      </c>
      <c r="J3" s="1"/>
      <c r="K3" s="37"/>
      <c r="L3" s="2"/>
    </row>
    <row r="4" spans="1:17" x14ac:dyDescent="0.35">
      <c r="E4" s="39"/>
    </row>
    <row r="5" spans="1:17" x14ac:dyDescent="0.35">
      <c r="A5" s="40" t="s">
        <v>3</v>
      </c>
      <c r="B5" s="368" t="s">
        <v>30</v>
      </c>
      <c r="C5" s="369"/>
      <c r="E5" s="41" t="s">
        <v>5</v>
      </c>
      <c r="F5" s="42" t="s">
        <v>6</v>
      </c>
      <c r="G5" s="134"/>
      <c r="H5" s="134"/>
    </row>
    <row r="6" spans="1:17" x14ac:dyDescent="0.35">
      <c r="A6" s="43" t="s">
        <v>9</v>
      </c>
      <c r="B6" s="370">
        <v>2500000</v>
      </c>
      <c r="C6" s="371"/>
      <c r="D6" s="44"/>
      <c r="E6" s="45">
        <v>1</v>
      </c>
      <c r="F6" s="46">
        <v>1.3</v>
      </c>
      <c r="G6" s="47"/>
      <c r="H6" s="47"/>
    </row>
    <row r="7" spans="1:17" x14ac:dyDescent="0.35">
      <c r="A7" s="43" t="s">
        <v>13</v>
      </c>
      <c r="B7" s="370">
        <v>4000000</v>
      </c>
      <c r="C7" s="371"/>
      <c r="D7" s="44"/>
      <c r="E7" s="45">
        <v>2</v>
      </c>
      <c r="F7" s="46">
        <v>0.8</v>
      </c>
      <c r="G7" s="47"/>
      <c r="H7" s="47"/>
      <c r="I7" s="48"/>
    </row>
    <row r="8" spans="1:17" x14ac:dyDescent="0.35">
      <c r="A8" s="43" t="s">
        <v>15</v>
      </c>
      <c r="B8" s="370">
        <v>3500000</v>
      </c>
      <c r="C8" s="371"/>
      <c r="D8" s="44"/>
      <c r="E8" s="49">
        <v>3</v>
      </c>
      <c r="F8" s="50">
        <v>0.3</v>
      </c>
      <c r="G8" s="47"/>
      <c r="H8" s="47"/>
    </row>
    <row r="9" spans="1:17" x14ac:dyDescent="0.35">
      <c r="A9" s="51" t="s">
        <v>19</v>
      </c>
      <c r="B9" s="372">
        <v>10000000</v>
      </c>
      <c r="C9" s="373"/>
      <c r="D9" s="44"/>
      <c r="E9" s="52"/>
      <c r="F9" s="135"/>
      <c r="G9" s="135"/>
      <c r="H9" s="135"/>
    </row>
    <row r="10" spans="1:17" x14ac:dyDescent="0.35">
      <c r="D10" s="44"/>
      <c r="E10" s="52"/>
      <c r="F10" s="84"/>
      <c r="G10" s="84"/>
      <c r="H10" s="84"/>
    </row>
    <row r="11" spans="1:17" x14ac:dyDescent="0.35">
      <c r="A11" s="365" t="s">
        <v>34</v>
      </c>
      <c r="B11" s="366"/>
      <c r="C11" s="366"/>
      <c r="D11" s="366"/>
      <c r="E11" s="366"/>
      <c r="F11" s="366"/>
      <c r="G11" s="366"/>
      <c r="H11" s="367"/>
      <c r="J11" s="83"/>
      <c r="K11" s="83"/>
      <c r="L11" s="83"/>
      <c r="M11" s="83"/>
      <c r="N11" s="83"/>
      <c r="O11" s="83"/>
      <c r="P11" s="83"/>
      <c r="Q11" s="83"/>
    </row>
    <row r="12" spans="1:17" x14ac:dyDescent="0.35">
      <c r="A12" s="51" t="s">
        <v>31</v>
      </c>
      <c r="B12" s="53"/>
      <c r="C12" s="54"/>
      <c r="D12" s="136">
        <v>0.5</v>
      </c>
      <c r="E12" s="55" t="s">
        <v>8</v>
      </c>
      <c r="F12" s="137">
        <v>1.3270417422867518</v>
      </c>
      <c r="G12" s="138"/>
      <c r="H12" s="139"/>
      <c r="J12" s="83"/>
      <c r="K12" s="83"/>
      <c r="L12" s="83"/>
      <c r="M12" s="83"/>
      <c r="N12" s="83"/>
      <c r="O12" s="83"/>
      <c r="P12" s="83"/>
      <c r="Q12" s="83"/>
    </row>
    <row r="13" spans="1:17" ht="46.5" x14ac:dyDescent="0.35">
      <c r="A13" s="56" t="s">
        <v>3</v>
      </c>
      <c r="B13" s="57" t="s">
        <v>10</v>
      </c>
      <c r="C13" s="57" t="s">
        <v>5</v>
      </c>
      <c r="D13" s="58" t="s">
        <v>21</v>
      </c>
      <c r="E13" s="59" t="s">
        <v>11</v>
      </c>
      <c r="F13" s="140" t="s">
        <v>22</v>
      </c>
      <c r="G13" s="57" t="s">
        <v>23</v>
      </c>
      <c r="H13" s="60" t="s">
        <v>12</v>
      </c>
      <c r="J13" s="83"/>
      <c r="K13" s="83"/>
      <c r="L13" s="83"/>
      <c r="M13" s="83"/>
      <c r="N13" s="83"/>
      <c r="O13" s="83"/>
      <c r="P13" s="83"/>
      <c r="Q13" s="83"/>
    </row>
    <row r="14" spans="1:17" x14ac:dyDescent="0.35">
      <c r="A14" s="43" t="s">
        <v>9</v>
      </c>
      <c r="B14" s="61">
        <v>0.96</v>
      </c>
      <c r="C14" s="62">
        <v>1</v>
      </c>
      <c r="D14" s="63">
        <v>1250000</v>
      </c>
      <c r="E14" s="47">
        <v>1.7251542649727774</v>
      </c>
      <c r="F14" s="64">
        <v>2156442.8312159716</v>
      </c>
      <c r="G14" s="63">
        <v>1250000</v>
      </c>
      <c r="H14" s="65">
        <v>906442.83121597162</v>
      </c>
      <c r="J14" s="83"/>
      <c r="K14" s="83"/>
      <c r="L14" s="83"/>
      <c r="M14" s="83"/>
      <c r="N14" s="83"/>
      <c r="O14" s="83"/>
      <c r="P14" s="83"/>
      <c r="Q14" s="83"/>
    </row>
    <row r="15" spans="1:17" x14ac:dyDescent="0.35">
      <c r="A15" s="43" t="s">
        <v>13</v>
      </c>
      <c r="B15" s="61">
        <v>0.92</v>
      </c>
      <c r="C15" s="36">
        <v>3</v>
      </c>
      <c r="D15" s="63">
        <v>2000000</v>
      </c>
      <c r="E15" s="47">
        <v>0.49284936479128844</v>
      </c>
      <c r="F15" s="64">
        <v>985698.7295825769</v>
      </c>
      <c r="G15" s="63">
        <v>985698.7295825769</v>
      </c>
      <c r="H15" s="141">
        <v>0</v>
      </c>
      <c r="J15" s="83"/>
      <c r="K15" s="83"/>
      <c r="L15" s="83"/>
      <c r="M15" s="83"/>
      <c r="N15" s="83"/>
      <c r="O15" s="83"/>
      <c r="P15" s="83"/>
      <c r="Q15" s="83"/>
    </row>
    <row r="16" spans="1:17" x14ac:dyDescent="0.35">
      <c r="A16" s="43" t="s">
        <v>15</v>
      </c>
      <c r="B16" s="61">
        <v>0.95</v>
      </c>
      <c r="C16" s="66">
        <v>2</v>
      </c>
      <c r="D16" s="63">
        <v>1750000</v>
      </c>
      <c r="E16" s="67">
        <v>1.0616333938294016</v>
      </c>
      <c r="F16" s="64">
        <v>1857858.4392014528</v>
      </c>
      <c r="G16" s="68">
        <v>1750000</v>
      </c>
      <c r="H16" s="69">
        <v>107858.43920145277</v>
      </c>
      <c r="J16" s="83"/>
      <c r="K16" s="83"/>
      <c r="L16" s="83"/>
      <c r="M16" s="83"/>
      <c r="N16" s="83"/>
      <c r="O16" s="83"/>
      <c r="P16" s="83"/>
      <c r="Q16" s="83"/>
    </row>
    <row r="17" spans="1:17" s="6" customFormat="1" x14ac:dyDescent="0.35">
      <c r="A17" s="92" t="s">
        <v>19</v>
      </c>
      <c r="B17" s="70">
        <v>0.94333333333333336</v>
      </c>
      <c r="C17" s="71"/>
      <c r="D17" s="72">
        <v>5000000</v>
      </c>
      <c r="E17" s="67">
        <v>1.0000000000000004</v>
      </c>
      <c r="F17" s="73">
        <v>5000000.0000000019</v>
      </c>
      <c r="G17" s="74">
        <v>3985698.729582577</v>
      </c>
      <c r="H17" s="75">
        <v>1014301.27041742</v>
      </c>
      <c r="J17" s="83"/>
      <c r="K17" s="83"/>
      <c r="L17" s="83"/>
      <c r="M17" s="83"/>
      <c r="N17" s="83"/>
      <c r="O17" s="83"/>
      <c r="P17" s="83"/>
      <c r="Q17" s="83"/>
    </row>
    <row r="18" spans="1:17" x14ac:dyDescent="0.35">
      <c r="A18" s="36" t="s">
        <v>20</v>
      </c>
      <c r="B18" s="76">
        <v>0.95</v>
      </c>
      <c r="J18" s="83"/>
      <c r="K18" s="83"/>
      <c r="L18" s="83"/>
      <c r="M18" s="83"/>
      <c r="N18" s="83"/>
      <c r="O18" s="83"/>
      <c r="P18" s="83"/>
      <c r="Q18" s="83"/>
    </row>
    <row r="19" spans="1:17" x14ac:dyDescent="0.35">
      <c r="B19" s="77"/>
      <c r="J19" s="83"/>
      <c r="K19" s="83"/>
      <c r="L19" s="83"/>
      <c r="M19" s="83"/>
      <c r="N19" s="83"/>
      <c r="O19" s="83"/>
      <c r="P19" s="83"/>
      <c r="Q19" s="83"/>
    </row>
    <row r="20" spans="1:17" x14ac:dyDescent="0.35">
      <c r="A20" s="365" t="s">
        <v>35</v>
      </c>
      <c r="B20" s="366"/>
      <c r="C20" s="366"/>
      <c r="D20" s="366"/>
      <c r="E20" s="366"/>
      <c r="F20" s="366"/>
      <c r="G20" s="366"/>
      <c r="H20" s="367"/>
      <c r="J20" s="83"/>
      <c r="K20" s="83"/>
      <c r="L20" s="83"/>
      <c r="M20" s="83"/>
      <c r="N20" s="83"/>
      <c r="O20" s="83"/>
      <c r="P20" s="83"/>
      <c r="Q20" s="83"/>
    </row>
    <row r="21" spans="1:17" x14ac:dyDescent="0.35">
      <c r="A21" s="51" t="s">
        <v>31</v>
      </c>
      <c r="B21" s="53"/>
      <c r="C21" s="54"/>
      <c r="D21" s="136">
        <v>0.5</v>
      </c>
      <c r="E21" s="55" t="s">
        <v>8</v>
      </c>
      <c r="F21" s="137">
        <v>0.4212624584717608</v>
      </c>
      <c r="G21" s="138"/>
      <c r="H21" s="139"/>
      <c r="J21" s="83"/>
      <c r="K21" s="83"/>
      <c r="L21" s="83"/>
      <c r="M21" s="83"/>
      <c r="N21" s="83"/>
      <c r="O21" s="83"/>
      <c r="P21" s="83"/>
      <c r="Q21" s="83"/>
    </row>
    <row r="22" spans="1:17" ht="46.5" x14ac:dyDescent="0.35">
      <c r="A22" s="56" t="s">
        <v>3</v>
      </c>
      <c r="B22" s="57" t="s">
        <v>10</v>
      </c>
      <c r="C22" s="57" t="s">
        <v>5</v>
      </c>
      <c r="D22" s="58" t="s">
        <v>21</v>
      </c>
      <c r="E22" s="59" t="s">
        <v>11</v>
      </c>
      <c r="F22" s="140" t="s">
        <v>22</v>
      </c>
      <c r="G22" s="57" t="s">
        <v>23</v>
      </c>
      <c r="H22" s="60" t="s">
        <v>12</v>
      </c>
      <c r="J22" s="83"/>
      <c r="K22" s="83"/>
      <c r="L22" s="83"/>
      <c r="M22" s="83"/>
      <c r="N22" s="83"/>
      <c r="O22" s="83"/>
      <c r="P22" s="83"/>
      <c r="Q22" s="83"/>
    </row>
    <row r="23" spans="1:17" x14ac:dyDescent="0.35">
      <c r="A23" s="43" t="s">
        <v>9</v>
      </c>
      <c r="B23" s="61">
        <v>0.44</v>
      </c>
      <c r="C23" s="62">
        <v>3</v>
      </c>
      <c r="D23" s="63">
        <v>1250000</v>
      </c>
      <c r="E23" s="47">
        <v>0.12637873754152823</v>
      </c>
      <c r="F23" s="64">
        <v>157973.42192691029</v>
      </c>
      <c r="G23" s="63">
        <v>157973.42192691029</v>
      </c>
      <c r="H23" s="141">
        <v>0</v>
      </c>
      <c r="J23" s="83"/>
      <c r="K23" s="83"/>
      <c r="L23" s="83"/>
      <c r="M23" s="83"/>
      <c r="N23" s="83"/>
      <c r="O23" s="83"/>
      <c r="P23" s="83"/>
      <c r="Q23" s="83"/>
    </row>
    <row r="24" spans="1:17" x14ac:dyDescent="0.35">
      <c r="A24" s="43" t="s">
        <v>13</v>
      </c>
      <c r="B24" s="61">
        <v>0.23</v>
      </c>
      <c r="C24" s="36">
        <v>1</v>
      </c>
      <c r="D24" s="63">
        <v>2000000</v>
      </c>
      <c r="E24" s="47">
        <v>1.9429900332225913</v>
      </c>
      <c r="F24" s="64">
        <v>3885980.0664451825</v>
      </c>
      <c r="G24" s="63">
        <v>2000000</v>
      </c>
      <c r="H24" s="65">
        <v>1885980.0664451825</v>
      </c>
      <c r="J24" s="83"/>
      <c r="K24" s="83"/>
      <c r="L24" s="83"/>
      <c r="M24" s="83"/>
      <c r="N24" s="83"/>
      <c r="O24" s="83"/>
      <c r="P24" s="83"/>
      <c r="Q24" s="83"/>
    </row>
    <row r="25" spans="1:17" x14ac:dyDescent="0.35">
      <c r="A25" s="43" t="s">
        <v>15</v>
      </c>
      <c r="B25" s="61">
        <v>0.4</v>
      </c>
      <c r="C25" s="66">
        <v>2</v>
      </c>
      <c r="D25" s="63">
        <v>1750000</v>
      </c>
      <c r="E25" s="67">
        <v>0.54631229235880385</v>
      </c>
      <c r="F25" s="64">
        <v>956046.5116279067</v>
      </c>
      <c r="G25" s="68">
        <v>956046.5116279067</v>
      </c>
      <c r="H25" s="142">
        <v>0</v>
      </c>
      <c r="J25" s="83"/>
      <c r="K25" s="83"/>
      <c r="L25" s="83"/>
      <c r="M25" s="83"/>
      <c r="N25" s="83"/>
      <c r="O25" s="83"/>
      <c r="P25" s="83"/>
      <c r="Q25" s="83"/>
    </row>
    <row r="26" spans="1:17" x14ac:dyDescent="0.35">
      <c r="A26" s="92" t="s">
        <v>19</v>
      </c>
      <c r="B26" s="70">
        <v>0.35666666666666669</v>
      </c>
      <c r="C26" s="71"/>
      <c r="D26" s="72">
        <v>5000000</v>
      </c>
      <c r="E26" s="67">
        <v>1</v>
      </c>
      <c r="F26" s="73">
        <v>5000000</v>
      </c>
      <c r="G26" s="74">
        <v>3114019.933554817</v>
      </c>
      <c r="H26" s="75">
        <v>1885980.0664451825</v>
      </c>
      <c r="J26" s="83"/>
      <c r="K26" s="83"/>
      <c r="L26" s="83"/>
      <c r="M26" s="83"/>
      <c r="N26" s="83"/>
      <c r="O26" s="83"/>
      <c r="P26" s="83"/>
      <c r="Q26" s="83"/>
    </row>
    <row r="27" spans="1:17" x14ac:dyDescent="0.35">
      <c r="A27" s="36" t="s">
        <v>20</v>
      </c>
      <c r="B27" s="76">
        <v>0.43</v>
      </c>
      <c r="J27" s="83"/>
      <c r="K27" s="83"/>
      <c r="L27" s="83"/>
      <c r="M27" s="83"/>
      <c r="N27" s="83"/>
      <c r="O27" s="83"/>
      <c r="P27" s="83"/>
      <c r="Q27" s="83"/>
    </row>
    <row r="28" spans="1:17" x14ac:dyDescent="0.35">
      <c r="B28" s="77"/>
      <c r="J28" s="36"/>
      <c r="K28" s="78"/>
      <c r="L28" s="36"/>
      <c r="M28" s="37"/>
      <c r="N28" s="38"/>
    </row>
    <row r="29" spans="1:17" x14ac:dyDescent="0.35">
      <c r="A29" s="83"/>
      <c r="B29" s="83"/>
      <c r="C29" s="83"/>
      <c r="D29" s="83"/>
      <c r="E29" s="83"/>
      <c r="F29" s="83"/>
      <c r="G29" s="83"/>
      <c r="H29" s="83"/>
    </row>
    <row r="30" spans="1:17" x14ac:dyDescent="0.35">
      <c r="A30" s="365" t="s">
        <v>24</v>
      </c>
      <c r="B30" s="366"/>
      <c r="C30" s="366"/>
      <c r="D30" s="366"/>
      <c r="E30" s="366"/>
      <c r="F30" s="366"/>
      <c r="G30" s="366"/>
      <c r="H30" s="367"/>
    </row>
    <row r="31" spans="1:17" x14ac:dyDescent="0.35">
      <c r="A31" s="51"/>
      <c r="B31" s="53"/>
      <c r="C31" s="54"/>
      <c r="D31" s="136">
        <v>1</v>
      </c>
      <c r="E31" s="55"/>
      <c r="F31" s="138"/>
      <c r="G31" s="138"/>
      <c r="H31" s="139"/>
    </row>
    <row r="32" spans="1:17" ht="46.5" x14ac:dyDescent="0.35">
      <c r="A32" s="40" t="s">
        <v>3</v>
      </c>
      <c r="B32" s="82"/>
      <c r="C32" s="82" t="s">
        <v>5</v>
      </c>
      <c r="D32" s="58" t="s">
        <v>21</v>
      </c>
      <c r="E32" s="59" t="s">
        <v>11</v>
      </c>
      <c r="F32" s="140" t="s">
        <v>22</v>
      </c>
      <c r="G32" s="57" t="s">
        <v>23</v>
      </c>
      <c r="H32" s="60" t="s">
        <v>12</v>
      </c>
    </row>
    <row r="33" spans="1:15" x14ac:dyDescent="0.35">
      <c r="A33" s="90" t="s">
        <v>9</v>
      </c>
      <c r="B33" s="91"/>
      <c r="C33" s="62">
        <v>2</v>
      </c>
      <c r="D33" s="79">
        <v>2500000</v>
      </c>
      <c r="E33" s="47">
        <v>0.92576650125715287</v>
      </c>
      <c r="F33" s="64">
        <v>2314416.2531428821</v>
      </c>
      <c r="G33" s="63">
        <v>1407973.4219269103</v>
      </c>
      <c r="H33" s="65">
        <v>906442.83121597162</v>
      </c>
    </row>
    <row r="34" spans="1:15" x14ac:dyDescent="0.35">
      <c r="A34" s="43" t="s">
        <v>13</v>
      </c>
      <c r="B34" s="143"/>
      <c r="C34" s="36">
        <v>1</v>
      </c>
      <c r="D34" s="79">
        <v>4000000</v>
      </c>
      <c r="E34" s="47">
        <v>1.2179196990069399</v>
      </c>
      <c r="F34" s="64">
        <v>4871678.7960277591</v>
      </c>
      <c r="G34" s="63">
        <v>2985698.729582577</v>
      </c>
      <c r="H34" s="65">
        <v>1885980.0664451825</v>
      </c>
    </row>
    <row r="35" spans="1:15" x14ac:dyDescent="0.35">
      <c r="A35" s="51" t="s">
        <v>15</v>
      </c>
      <c r="B35" s="53"/>
      <c r="C35" s="66">
        <v>3</v>
      </c>
      <c r="D35" s="79">
        <v>3500000</v>
      </c>
      <c r="E35" s="67">
        <v>0.80397284309410277</v>
      </c>
      <c r="F35" s="64">
        <v>2813904.9508293597</v>
      </c>
      <c r="G35" s="68">
        <v>2706046.5116279069</v>
      </c>
      <c r="H35" s="69">
        <v>107858.43920145277</v>
      </c>
    </row>
    <row r="36" spans="1:15" x14ac:dyDescent="0.35">
      <c r="A36" s="51" t="s">
        <v>19</v>
      </c>
      <c r="B36" s="66"/>
      <c r="C36" s="66"/>
      <c r="D36" s="80">
        <v>10000000</v>
      </c>
      <c r="E36" s="67">
        <v>1</v>
      </c>
      <c r="F36" s="73">
        <v>10000000</v>
      </c>
      <c r="G36" s="74">
        <v>7099718.663137394</v>
      </c>
      <c r="H36" s="81">
        <v>2900281.3368626069</v>
      </c>
    </row>
    <row r="37" spans="1:15" x14ac:dyDescent="0.35">
      <c r="O37" s="7" t="s">
        <v>32</v>
      </c>
    </row>
    <row r="44" spans="1:15" x14ac:dyDescent="0.35">
      <c r="A44" s="7"/>
      <c r="B44" s="7"/>
      <c r="C44" s="7"/>
      <c r="D44" s="7"/>
      <c r="E44" s="7"/>
    </row>
    <row r="45" spans="1:15" x14ac:dyDescent="0.35">
      <c r="A45" s="7"/>
      <c r="B45" s="7"/>
      <c r="C45" s="7"/>
      <c r="D45" s="7"/>
      <c r="E45" s="7"/>
    </row>
    <row r="46" spans="1:15" x14ac:dyDescent="0.35">
      <c r="A46" s="7"/>
      <c r="B46" s="7"/>
      <c r="C46" s="7"/>
      <c r="D46" s="7"/>
      <c r="E46" s="7"/>
    </row>
    <row r="47" spans="1:15" x14ac:dyDescent="0.35">
      <c r="A47" s="7"/>
      <c r="B47" s="7"/>
      <c r="C47" s="7"/>
      <c r="D47" s="7"/>
      <c r="E47" s="7"/>
    </row>
    <row r="48" spans="1:15" x14ac:dyDescent="0.35">
      <c r="A48" s="7"/>
      <c r="B48" s="7"/>
      <c r="C48" s="7"/>
      <c r="D48" s="7"/>
      <c r="E48" s="7"/>
    </row>
    <row r="49" s="7" customFormat="1" x14ac:dyDescent="0.35"/>
    <row r="50" s="7" customFormat="1" x14ac:dyDescent="0.35"/>
    <row r="51" s="7" customFormat="1" x14ac:dyDescent="0.35"/>
    <row r="52" s="7" customFormat="1" x14ac:dyDescent="0.35"/>
    <row r="53" s="7" customFormat="1" x14ac:dyDescent="0.35"/>
    <row r="54" s="7" customFormat="1" x14ac:dyDescent="0.35"/>
    <row r="55" s="7" customFormat="1" x14ac:dyDescent="0.35"/>
    <row r="56" s="7" customFormat="1" x14ac:dyDescent="0.35"/>
    <row r="57" s="7" customFormat="1" x14ac:dyDescent="0.35"/>
    <row r="58" s="7" customFormat="1" x14ac:dyDescent="0.35"/>
    <row r="59" s="7" customFormat="1" x14ac:dyDescent="0.35"/>
    <row r="60" s="7" customFormat="1" x14ac:dyDescent="0.35"/>
    <row r="61" s="7" customFormat="1" x14ac:dyDescent="0.35"/>
    <row r="62" s="7" customFormat="1" x14ac:dyDescent="0.35"/>
    <row r="63" s="7" customFormat="1" x14ac:dyDescent="0.35"/>
    <row r="64" s="7" customFormat="1" x14ac:dyDescent="0.35"/>
    <row r="65" spans="9:9" s="7" customFormat="1" x14ac:dyDescent="0.35"/>
    <row r="66" spans="9:9" s="7" customFormat="1" x14ac:dyDescent="0.35"/>
    <row r="67" spans="9:9" s="7" customFormat="1" x14ac:dyDescent="0.35"/>
    <row r="68" spans="9:9" s="7" customFormat="1" x14ac:dyDescent="0.35"/>
    <row r="69" spans="9:9" s="7" customFormat="1" x14ac:dyDescent="0.35"/>
    <row r="70" spans="9:9" s="7" customFormat="1" x14ac:dyDescent="0.35"/>
    <row r="71" spans="9:9" s="7" customFormat="1" x14ac:dyDescent="0.35"/>
    <row r="72" spans="9:9" s="7" customFormat="1" x14ac:dyDescent="0.35">
      <c r="I72" s="48"/>
    </row>
    <row r="73" spans="9:9" s="7" customFormat="1" x14ac:dyDescent="0.35"/>
  </sheetData>
  <mergeCells count="8">
    <mergeCell ref="A30:H30"/>
    <mergeCell ref="B5:C5"/>
    <mergeCell ref="B6:C6"/>
    <mergeCell ref="B7:C7"/>
    <mergeCell ref="B8:C8"/>
    <mergeCell ref="B9:C9"/>
    <mergeCell ref="A11:H11"/>
    <mergeCell ref="A20:H20"/>
  </mergeCells>
  <pageMargins left="0.7" right="0.7" top="0.75" bottom="0.75" header="0.3" footer="0.3"/>
  <pageSetup scale="48" orientation="portrait" r:id="rId1"/>
  <headerFooter>
    <oddHeader xml:space="preserve">&amp;L&amp;G&amp;C&amp;"Times New Roman,Bold"&amp;12ACOM Policy 306, Attachment B - 
APM Quality Performance Measure Scores - ALTCS E/PD
For the Contract Year Ending 09/30/20
&amp;K000000
</oddHeader>
    <oddFooter>&amp;L&amp;"Times New Roman,Bold"Effective Dates: 10/01/17, 10/01/18, 10/01/19, 10/01/20, 09/30/22
Approval Dates: 09/05/19, 09/29/20, 04/13/21, 10/06/22&amp;C&amp;"Times New Roman,Bold"&amp;12 306, Attachment B - 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2" ma:contentTypeDescription="Create a new document." ma:contentTypeScope="" ma:versionID="7e02bdb9d9a5655b27844217f9312f79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ce197d8ab5e39f7546786165900d5d8e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8c3d9e-a56e-434b-bb6a-7c6f06128eeb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7864E4-FD8E-4590-BCAF-0DB701E5D98C}"/>
</file>

<file path=customXml/itemProps2.xml><?xml version="1.0" encoding="utf-8"?>
<ds:datastoreItem xmlns:ds="http://schemas.openxmlformats.org/officeDocument/2006/customXml" ds:itemID="{C872DC57-724A-4FB6-84DD-BA5F22CB8FE8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fa328e85-1231-4692-ab8d-fba2a139eb0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3687C3-ADED-4A0D-93A5-5CF83C5E5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Attachment B - ACC CYE 22</vt:lpstr>
      <vt:lpstr>Attachment B - ACC CYE 21</vt:lpstr>
      <vt:lpstr>Attachment B - ACC CYE 20</vt:lpstr>
      <vt:lpstr>Attachment B - ALTCS CYE 22 NEW</vt:lpstr>
      <vt:lpstr>Attachment B - ALTCS-EPD CYE 21</vt:lpstr>
      <vt:lpstr>Attachment B- ALTCS E-PD CYE 20</vt:lpstr>
    </vt:vector>
  </TitlesOfParts>
  <Company>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Layne, Cynthia</dc:creator>
  <cp:lastModifiedBy>Voogd, Leanna</cp:lastModifiedBy>
  <cp:lastPrinted>2021-10-20T13:37:52Z</cp:lastPrinted>
  <dcterms:created xsi:type="dcterms:W3CDTF">2019-02-15T23:37:57Z</dcterms:created>
  <dcterms:modified xsi:type="dcterms:W3CDTF">2023-01-11T15:35:05Z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APC">
    <vt:bool>false</vt:bool>
  </property>
  <property fmtid="{D5CDD505-2E9C-101B-9397-08002B2CF9AE}" pid="4" name="APC0">
    <vt:bool>false</vt:bool>
  </property>
  <property fmtid="{D5CDD505-2E9C-101B-9397-08002B2CF9AE}" pid="5" name="Checked Out">
    <vt:bool>false</vt:bool>
  </property>
  <property fmtid="{D5CDD505-2E9C-101B-9397-08002B2CF9AE}" pid="6" name="AD Alternate 2">
    <vt:lpwstr/>
  </property>
  <property fmtid="{D5CDD505-2E9C-101B-9397-08002B2CF9AE}" pid="7" name="AD Alternate 1">
    <vt:lpwstr/>
  </property>
  <property fmtid="{D5CDD505-2E9C-101B-9397-08002B2CF9AE}" pid="8" name="AD1">
    <vt:lpwstr/>
  </property>
  <property fmtid="{D5CDD505-2E9C-101B-9397-08002B2CF9AE}" pid="9" name="IntWorkflow">
    <vt:lpwstr/>
  </property>
  <property fmtid="{D5CDD505-2E9C-101B-9397-08002B2CF9AE}" pid="10" name="AD2">
    <vt:lpwstr/>
  </property>
  <property fmtid="{D5CDD505-2E9C-101B-9397-08002B2CF9AE}" pid="11" name="Urgent">
    <vt:bool>false</vt:bool>
  </property>
  <property fmtid="{D5CDD505-2E9C-101B-9397-08002B2CF9AE}" pid="12" name="Order">
    <vt:r8>343400</vt:r8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ComplianceAssetId">
    <vt:lpwstr/>
  </property>
  <property fmtid="{D5CDD505-2E9C-101B-9397-08002B2CF9AE}" pid="18" name="TemplateUrl">
    <vt:lpwstr/>
  </property>
  <property fmtid="{D5CDD505-2E9C-101B-9397-08002B2CF9AE}" pid="19" name="SharedWithUsers">
    <vt:lpwstr/>
  </property>
  <property fmtid="{D5CDD505-2E9C-101B-9397-08002B2CF9AE}" pid="20" name="_SourceUrl">
    <vt:lpwstr/>
  </property>
  <property fmtid="{D5CDD505-2E9C-101B-9397-08002B2CF9AE}" pid="21" name="_SharedFileIndex">
    <vt:lpwstr/>
  </property>
</Properties>
</file>