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326" windowWidth="11355" windowHeight="7755" activeTab="0"/>
  </bookViews>
  <sheets>
    <sheet name="Recoup" sheetId="1" r:id="rId1"/>
    <sheet name="Reimburse" sheetId="2" r:id="rId2"/>
  </sheets>
  <externalReferences>
    <externalReference r:id="rId5"/>
  </externalReferences>
  <definedNames>
    <definedName name="Bound">'[1]Inputs'!$B$6</definedName>
    <definedName name="ReconPercent">'[1]Inputs'!$B$4</definedName>
  </definedNames>
  <calcPr fullCalcOnLoad="1"/>
</workbook>
</file>

<file path=xl/sharedStrings.xml><?xml version="1.0" encoding="utf-8"?>
<sst xmlns="http://schemas.openxmlformats.org/spreadsheetml/2006/main" count="162" uniqueCount="84">
  <si>
    <t>Prospective</t>
  </si>
  <si>
    <t>TANF &lt;1</t>
  </si>
  <si>
    <t>TANF 1-13</t>
  </si>
  <si>
    <t>TANF 14-44F</t>
  </si>
  <si>
    <t>TANF 14-44M</t>
  </si>
  <si>
    <t>TANF 45+</t>
  </si>
  <si>
    <t>SSI/W</t>
  </si>
  <si>
    <t>SSI W/O</t>
  </si>
  <si>
    <t>TOTAL</t>
  </si>
  <si>
    <t>Premium Tax</t>
  </si>
  <si>
    <t>Settlement</t>
  </si>
  <si>
    <t>Excess Profit</t>
  </si>
  <si>
    <t>Recoup. %</t>
  </si>
  <si>
    <t>Recoupment</t>
  </si>
  <si>
    <t xml:space="preserve">Amount </t>
  </si>
  <si>
    <t>Excess Loss</t>
  </si>
  <si>
    <t>Underpaid</t>
  </si>
  <si>
    <t>Reimburse</t>
  </si>
  <si>
    <t>3% &lt; x &lt;= 6%</t>
  </si>
  <si>
    <t>Assumptions:</t>
  </si>
  <si>
    <t>FOR THE CONTRACT YEAR ENDED 9/30/XX</t>
  </si>
  <si>
    <t>As Of: xx/xx/xx</t>
  </si>
  <si>
    <t>Recon Amount Due to/From Calculation</t>
  </si>
  <si>
    <t>&lt;=3%</t>
  </si>
  <si>
    <t>Amount</t>
  </si>
  <si>
    <t>Overpaid</t>
  </si>
  <si>
    <t>Calcs</t>
  </si>
  <si>
    <t>Profit/(Loss) % of Prospective Net Capitation</t>
  </si>
  <si>
    <t>ACUTE PROGRAM TIERED PROSPECTIVE RECONCILIATION</t>
  </si>
  <si>
    <t xml:space="preserve"> x &gt; 6%</t>
  </si>
  <si>
    <t>&gt; 3%</t>
  </si>
  <si>
    <t>SOBRA PREGNANT WOMEN</t>
  </si>
  <si>
    <t>Prospective Capitation</t>
  </si>
  <si>
    <t>Total Profit/(Loss) to be Reconciled</t>
  </si>
  <si>
    <t>Net Amount Due to (from) Contractor:</t>
  </si>
  <si>
    <t>Amount Due to (from) Contractor:</t>
  </si>
  <si>
    <t>3) Reinsurance Payments are based on actual reinsurance payments for dates of service within the reconciliation time frame.</t>
  </si>
  <si>
    <t>KidsCare</t>
  </si>
  <si>
    <t xml:space="preserve">5) The enhanced portion of a payment for PCP Parity that is subject to AHCCCS cost settlement will not be included in the reconciliation; the non-enhanced portion of the </t>
  </si>
  <si>
    <t>subject to AHCCCS cost settlement.</t>
  </si>
  <si>
    <t xml:space="preserve">   they represent the enhanced portion of a payment for PCP parity.</t>
  </si>
  <si>
    <t>Member Months</t>
  </si>
  <si>
    <t>Capitation</t>
  </si>
  <si>
    <t xml:space="preserve">Prospective Net Capitation </t>
  </si>
  <si>
    <t>Less: Administrative Component</t>
  </si>
  <si>
    <t>Less: Premium Tax Component</t>
  </si>
  <si>
    <t>Expense</t>
  </si>
  <si>
    <t>Less: CN1 Code 05 Encounters</t>
  </si>
  <si>
    <t>Net Medical Expense</t>
  </si>
  <si>
    <t>Reinsurance (RI) Payments</t>
  </si>
  <si>
    <t>Adults &lt;/= 106% (Fka AHCCCS Care)</t>
  </si>
  <si>
    <t>SOBRA FPEP (Until 12/31/14)</t>
  </si>
  <si>
    <t xml:space="preserve">8) For CYE 14 the rate was paid to the Contractors net of the withhold.  For CYE 15 and forward the gross capitation rate will be paid to the Contractors and the amount </t>
  </si>
  <si>
    <t>Plus: Delivery Supplemental Payments</t>
  </si>
  <si>
    <t xml:space="preserve">    of the quality contribution will be calculated and removed from the reconciliation.  </t>
  </si>
  <si>
    <t>Less: Quality Contribution (CYE 15 and Forward)</t>
  </si>
  <si>
    <t>Less:  Health Insurer Fee Capitation Adjustment</t>
  </si>
  <si>
    <t xml:space="preserve">    the amount built into the cap rates.  SOBRA Pregnant Women assume the administrative component at TANF 14-44 F rate.</t>
  </si>
  <si>
    <r>
      <t xml:space="preserve">Profit/(Loss) to be Reconciled  </t>
    </r>
    <r>
      <rPr>
        <sz val="8"/>
        <rFont val="Times New Roman"/>
        <family val="1"/>
      </rPr>
      <t>= (Net Cap - Net Exp + RI Pmt)</t>
    </r>
  </si>
  <si>
    <t>Adults &lt;/= 106%         (Fka AHCCCS Care)</t>
  </si>
  <si>
    <t>SOBRA FPEP                   (Until 12/31/13)</t>
  </si>
  <si>
    <t>Adjustment for PCP Parity Expenses</t>
  </si>
  <si>
    <t>Adjusted Net Profit (Loss) to be reconciled</t>
  </si>
  <si>
    <t>Total Prospective Capitation</t>
  </si>
  <si>
    <t>Plus: Subcapitated/Block Purchase Expense</t>
  </si>
  <si>
    <t>1) Total Prospective Capitation includes Prospective Capitation, Delivery Supplemental Payments net of Quality Contributions for dates of service within the reconciliation time frame.</t>
  </si>
  <si>
    <t>2) Prospective Medical Expenses include adjudicated encounters for dates of service within the reconciliation time frame.</t>
  </si>
  <si>
    <t xml:space="preserve">6) Subcapitated/Block Purchase expenses are self reported from Quarterly Financial statements. These should not contain the enhanced portion of a payment for PCP Parity that is </t>
  </si>
  <si>
    <t xml:space="preserve">7) All encounters with CN 1 code of 05 have been excluded from this reconciliation, since these should either be included in the self reported subcapitated/Block Purchase expenses or </t>
  </si>
  <si>
    <t>1) Total Prospective Capitation includes Prospective Capitation and Delivery Supplemental Payments net of Quality Contributions for dates of service within the reconciliation time frame.</t>
  </si>
  <si>
    <t xml:space="preserve">     the amount built into the cap rates.  SOBRA Pregnant Women assume the administrative component at TANF 14-44 F rate.</t>
  </si>
  <si>
    <t xml:space="preserve">  subject to AHCCCS cost settlement.</t>
  </si>
  <si>
    <t xml:space="preserve">     they represent the enhanced portion of a payment for PCP parity.</t>
  </si>
  <si>
    <t xml:space="preserve">     of the quality contribution will be calculated and removed from the reconciliation.  </t>
  </si>
  <si>
    <t>Adults &gt; 106%FPL</t>
  </si>
  <si>
    <t>Prospective Medical Expense</t>
  </si>
  <si>
    <t xml:space="preserve"> Prospective Net Capitation (Net of Admin Component, HIF Capitation Adj, APSI, and Premium Tax Component)</t>
  </si>
  <si>
    <t>Prospective Net Capitation (Net of Admin Component, HIF Capitation Adj, APSI and Premium Tax Component)</t>
  </si>
  <si>
    <t>4) Administrative Component is the awarded admin rate for all risk groups except those where rate is set by AHCCCCS.  The administrative component for rates set by AHCCCS will be at</t>
  </si>
  <si>
    <t>Less:  Access to Professional Service Initiative (APSI) Capitation (CYE 18)</t>
  </si>
  <si>
    <t>Less:  APSI Expenses (CYE 18)</t>
  </si>
  <si>
    <t>payment will be included in the reconciliation.  The enhanced portion of a payment due to APSI is not included in the reconciliation.</t>
  </si>
  <si>
    <t>HEALTH PLAN NAME</t>
  </si>
  <si>
    <t>ACOM POLICY 311 CYE 14-18, ATTACHMENT A</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</si>
</sst>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0_);[Red]\(0.00\)"/>
    <numFmt numFmtId="166" formatCode="_(&quot;$&quot;* #,##0_);_(&quot;$&quot;* \(#,##0\);_(&quot;$&quot;* &quot;-&quot;??_);_(@_)"/>
    <numFmt numFmtId="167" formatCode="&quot;$&quot;#,##0"/>
    <numFmt numFmtId="168" formatCode="_(&quot;$&quot;* #,##0.0000_);_(&quot;$&quot;* \(#,##0.0000\);_(&quot;$&quot;* &quot;-&quot;????_);_(@_)"/>
    <numFmt numFmtId="169" formatCode="0.0%"/>
    <numFmt numFmtId="170" formatCode="_(&quot;$&quot;* #,##0.0_);_(&quot;$&quot;* \(#,##0.0\);_(&quot;$&quot;* &quot;-&quot;??_);_(@_)"/>
    <numFmt numFmtId="171" formatCode="_(&quot;$&quot;* #,##0.000_);_(&quot;$&quot;* \(#,##0.000\);_(&quot;$&quot;* &quot;-&quot;??_);_(@_)"/>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0_);_(&quot;$&quot;* \(#,##0.000000\);_(&quot;$&quot;* &quot;-&quot;??_);_(@_)"/>
    <numFmt numFmtId="176" formatCode="_(&quot;$&quot;* #,##0.0000000_);_(&quot;$&quot;* \(#,##0.0000000\);_(&quot;$&quot;* &quot;-&quot;??_);_(@_)"/>
    <numFmt numFmtId="177" formatCode="0.000"/>
    <numFmt numFmtId="178" formatCode="0.0000"/>
    <numFmt numFmtId="179" formatCode="0.00000"/>
    <numFmt numFmtId="180" formatCode="0.000000"/>
    <numFmt numFmtId="181" formatCode="0.0000000"/>
    <numFmt numFmtId="182" formatCode="_(* #,##0.0_);_(* \(#,##0.0\);_(* &quot;-&quot;??_);_(@_)"/>
    <numFmt numFmtId="183" formatCode="_(* #,##0_);_(* \(#,##0\);_(* &quot;-&quot;??_);_(@_)"/>
    <numFmt numFmtId="184" formatCode="_(* #,##0.000_);_(* \(#,##0.000\);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000_);_(* \(#,##0.0000\);_(* &quot;-&quot;??_);_(@_)"/>
    <numFmt numFmtId="190" formatCode="&quot;$&quot;#,##0.00"/>
  </numFmts>
  <fonts count="45">
    <font>
      <sz val="10"/>
      <name val="Arial"/>
      <family val="0"/>
    </font>
    <font>
      <sz val="8"/>
      <name val="Arial"/>
      <family val="2"/>
    </font>
    <font>
      <u val="single"/>
      <sz val="10"/>
      <color indexed="12"/>
      <name val="Arial"/>
      <family val="2"/>
    </font>
    <font>
      <u val="single"/>
      <sz val="10"/>
      <color indexed="36"/>
      <name val="Arial"/>
      <family val="2"/>
    </font>
    <font>
      <b/>
      <sz val="12"/>
      <name val="Times New Roman"/>
      <family val="1"/>
    </font>
    <font>
      <b/>
      <sz val="8"/>
      <name val="Times New Roman"/>
      <family val="1"/>
    </font>
    <font>
      <sz val="8"/>
      <name val="Times New Roman"/>
      <family val="1"/>
    </font>
    <font>
      <sz val="10"/>
      <name val="Times New Roman"/>
      <family val="1"/>
    </font>
    <font>
      <sz val="9"/>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8"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0">
    <xf numFmtId="0" fontId="0" fillId="0" borderId="0" xfId="0" applyAlignment="1">
      <alignment/>
    </xf>
    <xf numFmtId="0" fontId="6" fillId="0" borderId="0" xfId="0" applyFont="1" applyAlignment="1">
      <alignment/>
    </xf>
    <xf numFmtId="0" fontId="5" fillId="0" borderId="10" xfId="0" applyFont="1" applyBorder="1" applyAlignment="1">
      <alignment horizontal="left"/>
    </xf>
    <xf numFmtId="165" fontId="5" fillId="0" borderId="11" xfId="0" applyNumberFormat="1" applyFont="1" applyBorder="1" applyAlignment="1">
      <alignment horizontal="center"/>
    </xf>
    <xf numFmtId="0" fontId="5" fillId="0" borderId="11" xfId="0" applyFont="1" applyBorder="1" applyAlignment="1" quotePrefix="1">
      <alignment horizontal="center"/>
    </xf>
    <xf numFmtId="165" fontId="5" fillId="0" borderId="11" xfId="0" applyNumberFormat="1" applyFont="1" applyBorder="1" applyAlignment="1" quotePrefix="1">
      <alignment horizontal="center"/>
    </xf>
    <xf numFmtId="165" fontId="5" fillId="0" borderId="11" xfId="0" applyNumberFormat="1" applyFont="1" applyBorder="1" applyAlignment="1">
      <alignment horizontal="center" wrapText="1"/>
    </xf>
    <xf numFmtId="165" fontId="5" fillId="0" borderId="11" xfId="0" applyNumberFormat="1" applyFont="1" applyFill="1" applyBorder="1" applyAlignment="1">
      <alignment horizontal="center" wrapText="1"/>
    </xf>
    <xf numFmtId="0" fontId="5" fillId="0" borderId="0" xfId="0" applyFont="1" applyBorder="1" applyAlignment="1">
      <alignment/>
    </xf>
    <xf numFmtId="165" fontId="5" fillId="0" borderId="0" xfId="0" applyNumberFormat="1" applyFont="1" applyBorder="1" applyAlignment="1">
      <alignment horizontal="center"/>
    </xf>
    <xf numFmtId="0" fontId="5" fillId="0" borderId="0" xfId="0" applyFont="1" applyBorder="1" applyAlignment="1" quotePrefix="1">
      <alignment horizontal="center"/>
    </xf>
    <xf numFmtId="165" fontId="5" fillId="0" borderId="0" xfId="0" applyNumberFormat="1" applyFont="1" applyBorder="1" applyAlignment="1" quotePrefix="1">
      <alignment horizontal="center"/>
    </xf>
    <xf numFmtId="0" fontId="6" fillId="0" borderId="0" xfId="0" applyFont="1" applyAlignment="1">
      <alignment horizontal="left" indent="1"/>
    </xf>
    <xf numFmtId="44" fontId="6" fillId="0" borderId="0" xfId="0" applyNumberFormat="1" applyFont="1" applyAlignment="1">
      <alignment/>
    </xf>
    <xf numFmtId="44" fontId="6" fillId="0" borderId="12" xfId="0" applyNumberFormat="1" applyFont="1" applyBorder="1" applyAlignment="1">
      <alignment/>
    </xf>
    <xf numFmtId="0" fontId="5" fillId="0" borderId="0" xfId="0" applyFont="1" applyAlignment="1">
      <alignment horizontal="left"/>
    </xf>
    <xf numFmtId="44" fontId="5" fillId="0" borderId="0" xfId="0" applyNumberFormat="1" applyFont="1" applyAlignment="1">
      <alignment/>
    </xf>
    <xf numFmtId="0" fontId="6" fillId="0" borderId="0" xfId="0" applyFont="1" applyFill="1" applyAlignment="1">
      <alignment horizontal="left" indent="1"/>
    </xf>
    <xf numFmtId="0" fontId="5" fillId="0" borderId="0" xfId="0" applyFont="1" applyFill="1" applyAlignment="1">
      <alignment/>
    </xf>
    <xf numFmtId="0" fontId="5" fillId="0" borderId="0" xfId="0" applyFont="1" applyAlignment="1">
      <alignment/>
    </xf>
    <xf numFmtId="0" fontId="5" fillId="0" borderId="11" xfId="0" applyFont="1" applyFill="1" applyBorder="1" applyAlignment="1">
      <alignment horizontal="left"/>
    </xf>
    <xf numFmtId="44" fontId="5" fillId="0" borderId="11" xfId="0" applyNumberFormat="1" applyFont="1" applyBorder="1" applyAlignment="1">
      <alignment/>
    </xf>
    <xf numFmtId="10" fontId="6" fillId="0" borderId="0" xfId="62" applyNumberFormat="1" applyFont="1" applyAlignment="1">
      <alignment/>
    </xf>
    <xf numFmtId="183" fontId="6" fillId="0" borderId="0" xfId="62" applyNumberFormat="1" applyFont="1" applyAlignment="1">
      <alignment/>
    </xf>
    <xf numFmtId="43" fontId="6" fillId="0" borderId="0" xfId="0" applyNumberFormat="1" applyFont="1" applyAlignment="1">
      <alignment/>
    </xf>
    <xf numFmtId="44" fontId="6" fillId="0" borderId="0" xfId="0" applyNumberFormat="1" applyFont="1" applyBorder="1" applyAlignment="1">
      <alignment/>
    </xf>
    <xf numFmtId="0" fontId="5" fillId="0" borderId="13" xfId="0" applyFont="1" applyBorder="1" applyAlignment="1">
      <alignment horizontal="left"/>
    </xf>
    <xf numFmtId="44" fontId="6" fillId="0" borderId="0" xfId="45" applyFont="1" applyBorder="1" applyAlignment="1">
      <alignment/>
    </xf>
    <xf numFmtId="10" fontId="6" fillId="0" borderId="0" xfId="62" applyNumberFormat="1" applyFont="1" applyBorder="1" applyAlignment="1">
      <alignment/>
    </xf>
    <xf numFmtId="0" fontId="6" fillId="0" borderId="0" xfId="0" applyFont="1" applyBorder="1" applyAlignment="1" quotePrefix="1">
      <alignment horizontal="left"/>
    </xf>
    <xf numFmtId="183" fontId="7" fillId="0" borderId="0" xfId="42" applyNumberFormat="1" applyFont="1" applyAlignment="1">
      <alignment/>
    </xf>
    <xf numFmtId="44" fontId="7" fillId="0" borderId="0" xfId="0" applyNumberFormat="1" applyFont="1" applyAlignment="1">
      <alignment/>
    </xf>
    <xf numFmtId="0" fontId="7" fillId="0" borderId="0" xfId="0" applyFont="1" applyAlignment="1">
      <alignment/>
    </xf>
    <xf numFmtId="171" fontId="6" fillId="0" borderId="0" xfId="45" applyNumberFormat="1" applyFont="1" applyAlignment="1">
      <alignment/>
    </xf>
    <xf numFmtId="44" fontId="6" fillId="0" borderId="0" xfId="0" applyNumberFormat="1" applyFont="1" applyFill="1" applyBorder="1" applyAlignment="1">
      <alignment/>
    </xf>
    <xf numFmtId="176" fontId="7" fillId="0" borderId="0" xfId="0" applyNumberFormat="1" applyFont="1" applyAlignment="1">
      <alignment/>
    </xf>
    <xf numFmtId="44" fontId="6" fillId="0" borderId="14" xfId="0" applyNumberFormat="1" applyFont="1" applyBorder="1" applyAlignment="1">
      <alignment/>
    </xf>
    <xf numFmtId="0" fontId="6" fillId="0" borderId="0" xfId="0" applyFont="1" applyAlignment="1">
      <alignment horizontal="center"/>
    </xf>
    <xf numFmtId="0" fontId="8" fillId="0" borderId="0" xfId="0" applyFont="1" applyBorder="1" applyAlignment="1">
      <alignment/>
    </xf>
    <xf numFmtId="0" fontId="8" fillId="0" borderId="0" xfId="0" applyFont="1" applyBorder="1" applyAlignment="1">
      <alignment horizontal="center"/>
    </xf>
    <xf numFmtId="9" fontId="6" fillId="0" borderId="0" xfId="0" applyNumberFormat="1" applyFont="1" applyAlignment="1">
      <alignment/>
    </xf>
    <xf numFmtId="9" fontId="8" fillId="0" borderId="0" xfId="62" applyFont="1" applyBorder="1" applyAlignment="1">
      <alignment/>
    </xf>
    <xf numFmtId="166" fontId="6" fillId="0" borderId="0" xfId="45" applyNumberFormat="1" applyFont="1" applyAlignment="1">
      <alignment/>
    </xf>
    <xf numFmtId="166" fontId="6" fillId="0" borderId="0" xfId="0" applyNumberFormat="1" applyFont="1" applyAlignment="1">
      <alignment/>
    </xf>
    <xf numFmtId="9" fontId="6" fillId="0" borderId="0" xfId="0" applyNumberFormat="1" applyFont="1" applyFill="1" applyAlignment="1">
      <alignment/>
    </xf>
    <xf numFmtId="167" fontId="8" fillId="0" borderId="0" xfId="45" applyNumberFormat="1" applyFont="1" applyBorder="1" applyAlignment="1">
      <alignment horizontal="center"/>
    </xf>
    <xf numFmtId="0" fontId="5"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7" fillId="0" borderId="19" xfId="0" applyFont="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7" fillId="0" borderId="18" xfId="0" applyFont="1" applyBorder="1" applyAlignment="1">
      <alignment/>
    </xf>
    <xf numFmtId="0" fontId="7" fillId="0" borderId="18" xfId="0" applyFont="1" applyBorder="1" applyAlignment="1">
      <alignment horizontal="left"/>
    </xf>
    <xf numFmtId="0" fontId="7" fillId="0" borderId="18" xfId="0" applyFont="1" applyBorder="1" applyAlignment="1">
      <alignment horizontal="left" indent="1"/>
    </xf>
    <xf numFmtId="0" fontId="6" fillId="0" borderId="19" xfId="0" applyFont="1" applyBorder="1" applyAlignment="1">
      <alignment/>
    </xf>
    <xf numFmtId="0" fontId="7" fillId="0" borderId="18" xfId="0" applyFont="1" applyBorder="1" applyAlignment="1">
      <alignment horizontal="left" vertical="top"/>
    </xf>
    <xf numFmtId="0" fontId="7"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165" fontId="5" fillId="33" borderId="11" xfId="0" applyNumberFormat="1" applyFont="1" applyFill="1" applyBorder="1" applyAlignment="1">
      <alignment horizontal="center" wrapText="1"/>
    </xf>
    <xf numFmtId="181" fontId="6" fillId="0" borderId="0" xfId="0" applyNumberFormat="1" applyFont="1" applyAlignment="1">
      <alignment/>
    </xf>
    <xf numFmtId="44" fontId="6" fillId="0" borderId="0" xfId="62" applyNumberFormat="1" applyFont="1" applyAlignment="1">
      <alignment/>
    </xf>
    <xf numFmtId="44" fontId="6" fillId="0" borderId="23" xfId="62" applyNumberFormat="1" applyFont="1" applyBorder="1" applyAlignment="1">
      <alignment/>
    </xf>
    <xf numFmtId="0" fontId="6" fillId="0" borderId="0" xfId="0" applyFont="1" applyAlignment="1">
      <alignment wrapText="1"/>
    </xf>
    <xf numFmtId="0" fontId="5" fillId="0" borderId="0" xfId="0" applyFont="1" applyAlignment="1">
      <alignment wrapText="1"/>
    </xf>
    <xf numFmtId="0" fontId="1" fillId="0" borderId="0" xfId="0" applyFont="1" applyAlignment="1">
      <alignment/>
    </xf>
    <xf numFmtId="44" fontId="1" fillId="0" borderId="0" xfId="0" applyNumberFormat="1" applyFont="1" applyAlignment="1">
      <alignment/>
    </xf>
    <xf numFmtId="0" fontId="0" fillId="0" borderId="0" xfId="0" applyFont="1" applyAlignment="1">
      <alignment/>
    </xf>
    <xf numFmtId="7" fontId="27" fillId="0" borderId="0" xfId="44" applyNumberFormat="1" applyFont="1" applyAlignment="1">
      <alignment/>
    </xf>
    <xf numFmtId="7" fontId="27" fillId="0" borderId="0" xfId="44" applyNumberFormat="1" applyFont="1" applyAlignment="1">
      <alignment/>
    </xf>
    <xf numFmtId="0" fontId="6" fillId="34" borderId="0" xfId="0" applyFont="1" applyFill="1" applyAlignment="1">
      <alignment/>
    </xf>
    <xf numFmtId="0" fontId="4" fillId="34" borderId="0" xfId="0" applyFont="1" applyFill="1" applyAlignment="1">
      <alignment/>
    </xf>
    <xf numFmtId="0" fontId="9" fillId="34" borderId="0" xfId="0" applyFont="1" applyFill="1" applyAlignment="1">
      <alignment horizontal="centerContinuous"/>
    </xf>
    <xf numFmtId="0" fontId="5" fillId="34" borderId="0" xfId="0" applyFont="1" applyFill="1" applyAlignment="1" quotePrefix="1">
      <alignment horizontal="centerContinuous"/>
    </xf>
    <xf numFmtId="0" fontId="5" fillId="34" borderId="0" xfId="0" applyFont="1" applyFill="1" applyAlignment="1">
      <alignment horizontal="centerContinuous"/>
    </xf>
    <xf numFmtId="164" fontId="4" fillId="0" borderId="0" xfId="0" applyNumberFormat="1"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ctuarial\Acute\CY12%20Cap%20Development\Cognos\Recons\2010\ProsRecon2010%20w%20Upd%20RI%20and%20Admin%20@%20bid%20Dynamic%20TX%20Model%20Rev%2007-1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s"/>
      <sheetName val="Condensed Summary"/>
      <sheetName val="Admin %"/>
      <sheetName val="Overall Summary"/>
      <sheetName val="APIPASummary"/>
      <sheetName val="APIPADetail"/>
      <sheetName val="Care1stSummary"/>
      <sheetName val="Care1stDetail"/>
      <sheetName val="BridgewaySummary"/>
      <sheetName val="BridgewayDetail"/>
      <sheetName val="HCASummary"/>
      <sheetName val="HCADetail"/>
      <sheetName val="MaricopaSummary"/>
      <sheetName val="MaricopaDetail"/>
      <sheetName val="MercySummary"/>
      <sheetName val="MercyDetail"/>
      <sheetName val="PHPSummary"/>
      <sheetName val="PHPDetail"/>
      <sheetName val="PimaSummary"/>
      <sheetName val="PimaDetail"/>
      <sheetName val="UFCSummary"/>
      <sheetName val="UFCDetail"/>
    </sheetNames>
    <sheetDataSet>
      <sheetData sheetId="1">
        <row r="4">
          <cell r="B4">
            <v>0.02</v>
          </cell>
        </row>
        <row r="6">
          <cell r="B6" t="str">
            <v>yes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79"/>
  <sheetViews>
    <sheetView tabSelected="1" view="pageLayout" zoomScale="80" zoomScaleNormal="110" zoomScalePageLayoutView="80" workbookViewId="0" topLeftCell="A1">
      <selection activeCell="A89" sqref="A89"/>
    </sheetView>
  </sheetViews>
  <sheetFormatPr defaultColWidth="9.140625" defaultRowHeight="12.75"/>
  <cols>
    <col min="1" max="1" width="84.8515625" style="69" customWidth="1"/>
    <col min="2" max="2" width="15.140625" style="69" customWidth="1"/>
    <col min="3" max="3" width="18.140625" style="69" bestFit="1" customWidth="1"/>
    <col min="4" max="4" width="16.7109375" style="69" bestFit="1" customWidth="1"/>
    <col min="5" max="5" width="13.00390625" style="69" customWidth="1"/>
    <col min="6" max="6" width="17.140625" style="69" customWidth="1"/>
    <col min="7" max="7" width="13.00390625" style="69" customWidth="1"/>
    <col min="8" max="8" width="13.7109375" style="69" customWidth="1"/>
    <col min="9" max="9" width="15.7109375" style="69" bestFit="1" customWidth="1"/>
    <col min="10" max="12" width="13.8515625" style="69" customWidth="1"/>
    <col min="13" max="13" width="14.28125" style="69" bestFit="1" customWidth="1"/>
    <col min="14" max="14" width="13.8515625" style="69" bestFit="1" customWidth="1"/>
    <col min="15" max="15" width="11.57421875" style="69" bestFit="1" customWidth="1"/>
    <col min="16" max="16" width="12.8515625" style="69" bestFit="1" customWidth="1"/>
    <col min="17" max="17" width="10.7109375" style="69" bestFit="1" customWidth="1"/>
    <col min="18" max="16384" width="9.140625" style="69" customWidth="1"/>
  </cols>
  <sheetData>
    <row r="1" spans="1:16" s="1" customFormat="1" ht="15.75">
      <c r="A1" s="74"/>
      <c r="B1" s="74"/>
      <c r="C1" s="74"/>
      <c r="D1" s="75" t="s">
        <v>83</v>
      </c>
      <c r="E1" s="74"/>
      <c r="F1" s="74"/>
      <c r="G1" s="74"/>
      <c r="H1" s="74"/>
      <c r="I1" s="74"/>
      <c r="J1" s="74"/>
      <c r="K1" s="74"/>
      <c r="L1" s="74"/>
      <c r="M1" s="74"/>
      <c r="N1" s="74"/>
      <c r="O1" s="74"/>
      <c r="P1" s="74"/>
    </row>
    <row r="2" spans="1:16" s="1" customFormat="1" ht="12.75">
      <c r="A2" s="76" t="s">
        <v>82</v>
      </c>
      <c r="B2" s="77"/>
      <c r="C2" s="77"/>
      <c r="D2" s="77"/>
      <c r="E2" s="77"/>
      <c r="F2" s="77"/>
      <c r="G2" s="77"/>
      <c r="H2" s="77"/>
      <c r="I2" s="77"/>
      <c r="J2" s="77"/>
      <c r="K2" s="77"/>
      <c r="L2" s="77"/>
      <c r="M2" s="77"/>
      <c r="N2" s="77"/>
      <c r="O2" s="74"/>
      <c r="P2" s="74"/>
    </row>
    <row r="3" spans="1:16" s="1" customFormat="1" ht="12.75">
      <c r="A3" s="76" t="s">
        <v>28</v>
      </c>
      <c r="B3" s="78"/>
      <c r="C3" s="78"/>
      <c r="D3" s="78"/>
      <c r="E3" s="78"/>
      <c r="F3" s="78"/>
      <c r="G3" s="78"/>
      <c r="H3" s="78"/>
      <c r="I3" s="78"/>
      <c r="J3" s="78"/>
      <c r="K3" s="78"/>
      <c r="L3" s="78"/>
      <c r="M3" s="78"/>
      <c r="N3" s="78"/>
      <c r="O3" s="74"/>
      <c r="P3" s="74"/>
    </row>
    <row r="4" spans="1:16" s="1" customFormat="1" ht="11.25">
      <c r="A4" s="78" t="s">
        <v>20</v>
      </c>
      <c r="B4" s="77"/>
      <c r="C4" s="77"/>
      <c r="D4" s="77"/>
      <c r="E4" s="77"/>
      <c r="F4" s="77"/>
      <c r="G4" s="77"/>
      <c r="H4" s="77"/>
      <c r="I4" s="77"/>
      <c r="J4" s="77"/>
      <c r="K4" s="77"/>
      <c r="L4" s="77"/>
      <c r="M4" s="77"/>
      <c r="N4" s="77"/>
      <c r="O4" s="74"/>
      <c r="P4" s="74"/>
    </row>
    <row r="5" spans="1:16" s="1" customFormat="1" ht="11.25">
      <c r="A5" s="78" t="s">
        <v>21</v>
      </c>
      <c r="B5" s="78"/>
      <c r="C5" s="78"/>
      <c r="D5" s="78"/>
      <c r="E5" s="78"/>
      <c r="F5" s="78"/>
      <c r="G5" s="78"/>
      <c r="H5" s="78"/>
      <c r="I5" s="78"/>
      <c r="J5" s="78"/>
      <c r="K5" s="78"/>
      <c r="L5" s="78"/>
      <c r="M5" s="78"/>
      <c r="N5" s="78"/>
      <c r="O5" s="74"/>
      <c r="P5" s="74"/>
    </row>
    <row r="6" spans="1:14" ht="12" thickBot="1">
      <c r="A6" s="1"/>
      <c r="B6" s="1"/>
      <c r="C6" s="1"/>
      <c r="D6" s="1"/>
      <c r="E6" s="1"/>
      <c r="F6" s="1"/>
      <c r="G6" s="1"/>
      <c r="H6" s="1"/>
      <c r="I6" s="1"/>
      <c r="J6" s="1"/>
      <c r="K6" s="1"/>
      <c r="L6" s="1"/>
      <c r="M6" s="1"/>
      <c r="N6" s="1"/>
    </row>
    <row r="7" spans="1:14" ht="36" customHeight="1" thickBot="1">
      <c r="A7" s="2" t="s">
        <v>0</v>
      </c>
      <c r="B7" s="3" t="s">
        <v>1</v>
      </c>
      <c r="C7" s="3" t="s">
        <v>2</v>
      </c>
      <c r="D7" s="4" t="s">
        <v>3</v>
      </c>
      <c r="E7" s="4" t="s">
        <v>4</v>
      </c>
      <c r="F7" s="3" t="s">
        <v>5</v>
      </c>
      <c r="G7" s="3" t="s">
        <v>6</v>
      </c>
      <c r="H7" s="5" t="s">
        <v>7</v>
      </c>
      <c r="I7" s="6" t="s">
        <v>31</v>
      </c>
      <c r="J7" s="6" t="s">
        <v>37</v>
      </c>
      <c r="K7" s="7" t="s">
        <v>59</v>
      </c>
      <c r="L7" s="7" t="s">
        <v>74</v>
      </c>
      <c r="M7" s="6" t="s">
        <v>60</v>
      </c>
      <c r="N7" s="3" t="s">
        <v>8</v>
      </c>
    </row>
    <row r="8" spans="1:14" ht="11.25">
      <c r="A8" s="8"/>
      <c r="B8" s="9"/>
      <c r="C8" s="9"/>
      <c r="D8" s="10"/>
      <c r="E8" s="10"/>
      <c r="F8" s="9"/>
      <c r="G8" s="9"/>
      <c r="H8" s="11"/>
      <c r="I8" s="9"/>
      <c r="J8" s="9"/>
      <c r="K8" s="9"/>
      <c r="L8" s="9"/>
      <c r="M8" s="9"/>
      <c r="N8" s="9"/>
    </row>
    <row r="9" spans="1:14" ht="11.25">
      <c r="A9" s="8" t="s">
        <v>42</v>
      </c>
      <c r="B9" s="9"/>
      <c r="C9" s="9"/>
      <c r="D9" s="10"/>
      <c r="E9" s="10"/>
      <c r="F9" s="9"/>
      <c r="G9" s="9"/>
      <c r="H9" s="11"/>
      <c r="I9" s="9"/>
      <c r="J9" s="9"/>
      <c r="K9" s="9"/>
      <c r="L9" s="9"/>
      <c r="M9" s="9"/>
      <c r="N9" s="9"/>
    </row>
    <row r="10" spans="1:14" ht="11.25">
      <c r="A10" s="12" t="s">
        <v>32</v>
      </c>
      <c r="B10" s="13">
        <v>58400000</v>
      </c>
      <c r="C10" s="13">
        <v>128300000</v>
      </c>
      <c r="D10" s="13">
        <v>132700000</v>
      </c>
      <c r="E10" s="13">
        <v>41500000</v>
      </c>
      <c r="F10" s="13">
        <v>40000000</v>
      </c>
      <c r="G10" s="13">
        <v>29200000</v>
      </c>
      <c r="H10" s="13">
        <v>112300000</v>
      </c>
      <c r="I10" s="13">
        <v>8000000</v>
      </c>
      <c r="J10" s="13">
        <f>SUM(B10:F10)*0.1</f>
        <v>40090000</v>
      </c>
      <c r="K10" s="13">
        <v>118000000</v>
      </c>
      <c r="L10" s="13">
        <v>160000000</v>
      </c>
      <c r="M10" s="13">
        <v>100000</v>
      </c>
      <c r="N10" s="13">
        <f>+SUM(B10:M10)</f>
        <v>868590000</v>
      </c>
    </row>
    <row r="11" spans="1:14" ht="11.25">
      <c r="A11" s="12" t="s">
        <v>55</v>
      </c>
      <c r="B11" s="13">
        <v>0</v>
      </c>
      <c r="C11" s="13">
        <v>0</v>
      </c>
      <c r="D11" s="13">
        <v>0</v>
      </c>
      <c r="E11" s="13">
        <v>0</v>
      </c>
      <c r="F11" s="13">
        <v>0</v>
      </c>
      <c r="G11" s="13">
        <v>0</v>
      </c>
      <c r="H11" s="13">
        <v>0</v>
      </c>
      <c r="I11" s="13">
        <v>0</v>
      </c>
      <c r="J11" s="13">
        <v>0</v>
      </c>
      <c r="K11" s="13">
        <v>0</v>
      </c>
      <c r="L11" s="13"/>
      <c r="M11" s="13">
        <v>0</v>
      </c>
      <c r="N11" s="13">
        <f>+SUM(B11:M11)</f>
        <v>0</v>
      </c>
    </row>
    <row r="12" spans="1:14" ht="12" customHeight="1">
      <c r="A12" s="12" t="s">
        <v>53</v>
      </c>
      <c r="B12" s="14">
        <v>0</v>
      </c>
      <c r="C12" s="14">
        <v>0</v>
      </c>
      <c r="D12" s="14">
        <v>18400000</v>
      </c>
      <c r="E12" s="14">
        <v>0</v>
      </c>
      <c r="F12" s="14">
        <v>0</v>
      </c>
      <c r="G12" s="14">
        <v>100000</v>
      </c>
      <c r="H12" s="14">
        <v>700000</v>
      </c>
      <c r="I12" s="14">
        <v>26000000</v>
      </c>
      <c r="J12" s="14">
        <f>SUM(B12:F12)*0.1</f>
        <v>1840000</v>
      </c>
      <c r="K12" s="14">
        <v>5000000</v>
      </c>
      <c r="L12" s="14">
        <v>2500000</v>
      </c>
      <c r="M12" s="14">
        <v>0</v>
      </c>
      <c r="N12" s="14">
        <f>+SUM(B12:M12)</f>
        <v>54540000</v>
      </c>
    </row>
    <row r="13" spans="1:14" ht="11.25">
      <c r="A13" s="15" t="s">
        <v>63</v>
      </c>
      <c r="B13" s="16">
        <f>B10-B11+B12</f>
        <v>58400000</v>
      </c>
      <c r="C13" s="16">
        <f aca="true" t="shared" si="0" ref="C13:M13">C10-C11+C12</f>
        <v>128300000</v>
      </c>
      <c r="D13" s="16">
        <f t="shared" si="0"/>
        <v>151100000</v>
      </c>
      <c r="E13" s="16">
        <f t="shared" si="0"/>
        <v>41500000</v>
      </c>
      <c r="F13" s="16">
        <f t="shared" si="0"/>
        <v>40000000</v>
      </c>
      <c r="G13" s="16">
        <f t="shared" si="0"/>
        <v>29300000</v>
      </c>
      <c r="H13" s="16">
        <f t="shared" si="0"/>
        <v>113000000</v>
      </c>
      <c r="I13" s="16">
        <f t="shared" si="0"/>
        <v>34000000</v>
      </c>
      <c r="J13" s="16">
        <f t="shared" si="0"/>
        <v>41930000</v>
      </c>
      <c r="K13" s="16">
        <f t="shared" si="0"/>
        <v>123000000</v>
      </c>
      <c r="L13" s="16">
        <f t="shared" si="0"/>
        <v>162500000</v>
      </c>
      <c r="M13" s="16">
        <f t="shared" si="0"/>
        <v>100000</v>
      </c>
      <c r="N13" s="16">
        <f>SUM(B13:M13)</f>
        <v>923130000</v>
      </c>
    </row>
    <row r="14" spans="1:17" ht="11.25">
      <c r="A14" s="17" t="s">
        <v>44</v>
      </c>
      <c r="B14" s="13">
        <v>4400000</v>
      </c>
      <c r="C14" s="13">
        <v>9500000</v>
      </c>
      <c r="D14" s="13">
        <v>11342560</v>
      </c>
      <c r="E14" s="13">
        <v>3100000</v>
      </c>
      <c r="F14" s="13">
        <v>3100000</v>
      </c>
      <c r="G14" s="13">
        <v>2107840</v>
      </c>
      <c r="H14" s="13">
        <v>8254880</v>
      </c>
      <c r="I14" s="13">
        <v>2638400</v>
      </c>
      <c r="J14" s="13">
        <f>SUM(B14:F14)*0.1</f>
        <v>3144256</v>
      </c>
      <c r="K14" s="13">
        <v>4520000</v>
      </c>
      <c r="L14" s="13">
        <v>11200000</v>
      </c>
      <c r="M14" s="13">
        <v>7260</v>
      </c>
      <c r="N14" s="13">
        <f>+SUM(B14:M14)</f>
        <v>63315196</v>
      </c>
      <c r="O14" s="70"/>
      <c r="P14" s="70"/>
      <c r="Q14" s="70"/>
    </row>
    <row r="15" spans="1:17" ht="11.25">
      <c r="A15" s="17" t="s">
        <v>56</v>
      </c>
      <c r="B15" s="13">
        <v>759200</v>
      </c>
      <c r="C15" s="13">
        <v>1667900</v>
      </c>
      <c r="D15" s="13">
        <v>1725100</v>
      </c>
      <c r="E15" s="13">
        <v>539500</v>
      </c>
      <c r="F15" s="13">
        <v>520000</v>
      </c>
      <c r="G15" s="13">
        <v>379600</v>
      </c>
      <c r="H15" s="13">
        <v>1459900</v>
      </c>
      <c r="I15" s="13">
        <v>104000</v>
      </c>
      <c r="J15" s="13">
        <v>521170</v>
      </c>
      <c r="K15" s="13">
        <v>1534000</v>
      </c>
      <c r="L15" s="13">
        <v>2345000</v>
      </c>
      <c r="M15" s="13">
        <v>1300</v>
      </c>
      <c r="N15" s="13">
        <f>+SUM(B15:M15)</f>
        <v>11556670</v>
      </c>
      <c r="O15" s="70"/>
      <c r="P15" s="70"/>
      <c r="Q15" s="70"/>
    </row>
    <row r="16" spans="1:17" ht="11.25">
      <c r="A16" s="17" t="s">
        <v>79</v>
      </c>
      <c r="B16" s="13">
        <v>467200</v>
      </c>
      <c r="C16" s="13">
        <v>1026400</v>
      </c>
      <c r="D16" s="13">
        <v>1061600</v>
      </c>
      <c r="E16" s="13">
        <v>332000</v>
      </c>
      <c r="F16" s="13">
        <v>320000</v>
      </c>
      <c r="G16" s="13">
        <v>233600</v>
      </c>
      <c r="H16" s="13">
        <v>898400</v>
      </c>
      <c r="I16" s="13">
        <v>64000</v>
      </c>
      <c r="J16" s="13">
        <v>320720</v>
      </c>
      <c r="K16" s="13">
        <v>944000</v>
      </c>
      <c r="L16" s="13">
        <v>1280000</v>
      </c>
      <c r="M16" s="13">
        <v>0</v>
      </c>
      <c r="N16" s="13">
        <f>+SUM(B16:M16)</f>
        <v>6947920</v>
      </c>
      <c r="O16" s="70"/>
      <c r="P16" s="70"/>
      <c r="Q16" s="70"/>
    </row>
    <row r="17" spans="1:16" ht="11.25">
      <c r="A17" s="12" t="s">
        <v>45</v>
      </c>
      <c r="B17" s="14">
        <f>B13*0.02</f>
        <v>1168000</v>
      </c>
      <c r="C17" s="14">
        <f aca="true" t="shared" si="1" ref="C17:M17">C13*0.02</f>
        <v>2566000</v>
      </c>
      <c r="D17" s="14">
        <f t="shared" si="1"/>
        <v>3022000</v>
      </c>
      <c r="E17" s="14">
        <f t="shared" si="1"/>
        <v>830000</v>
      </c>
      <c r="F17" s="14">
        <f t="shared" si="1"/>
        <v>800000</v>
      </c>
      <c r="G17" s="14">
        <f t="shared" si="1"/>
        <v>586000</v>
      </c>
      <c r="H17" s="14">
        <f t="shared" si="1"/>
        <v>2260000</v>
      </c>
      <c r="I17" s="14">
        <f t="shared" si="1"/>
        <v>680000</v>
      </c>
      <c r="J17" s="14">
        <f>J13*0.02</f>
        <v>838600</v>
      </c>
      <c r="K17" s="14">
        <f>K13*0.02</f>
        <v>2460000</v>
      </c>
      <c r="L17" s="14">
        <f>L13*0.02</f>
        <v>3250000</v>
      </c>
      <c r="M17" s="14">
        <f t="shared" si="1"/>
        <v>2000</v>
      </c>
      <c r="N17" s="14">
        <f>SUM(B17:M17)</f>
        <v>18462600</v>
      </c>
      <c r="P17" s="70"/>
    </row>
    <row r="18" spans="1:14" ht="11.25">
      <c r="A18" s="18" t="s">
        <v>43</v>
      </c>
      <c r="B18" s="16">
        <f>B13-SUM(B14:B17)</f>
        <v>51605600</v>
      </c>
      <c r="C18" s="16">
        <f aca="true" t="shared" si="2" ref="C18:N18">C13-SUM(C14:C17)</f>
        <v>113539700</v>
      </c>
      <c r="D18" s="16">
        <f t="shared" si="2"/>
        <v>133948740</v>
      </c>
      <c r="E18" s="16">
        <f t="shared" si="2"/>
        <v>36698500</v>
      </c>
      <c r="F18" s="16">
        <f t="shared" si="2"/>
        <v>35260000</v>
      </c>
      <c r="G18" s="16">
        <f t="shared" si="2"/>
        <v>25992960</v>
      </c>
      <c r="H18" s="16">
        <f t="shared" si="2"/>
        <v>100126820</v>
      </c>
      <c r="I18" s="16">
        <f t="shared" si="2"/>
        <v>30513600</v>
      </c>
      <c r="J18" s="16">
        <f t="shared" si="2"/>
        <v>37105254</v>
      </c>
      <c r="K18" s="16">
        <f t="shared" si="2"/>
        <v>113542000</v>
      </c>
      <c r="L18" s="16">
        <f>L13-SUM(L14:L17)</f>
        <v>144425000</v>
      </c>
      <c r="M18" s="16">
        <f t="shared" si="2"/>
        <v>89440</v>
      </c>
      <c r="N18" s="16">
        <f t="shared" si="2"/>
        <v>822847614</v>
      </c>
    </row>
    <row r="19" spans="1:14" ht="11.25">
      <c r="A19" s="18"/>
      <c r="B19" s="13"/>
      <c r="C19" s="13"/>
      <c r="D19" s="13"/>
      <c r="E19" s="13"/>
      <c r="F19" s="13"/>
      <c r="G19" s="13"/>
      <c r="H19" s="13"/>
      <c r="I19" s="13"/>
      <c r="J19" s="13"/>
      <c r="K19" s="13"/>
      <c r="L19" s="13"/>
      <c r="M19" s="13"/>
      <c r="N19" s="13"/>
    </row>
    <row r="20" spans="1:14" ht="11.25">
      <c r="A20" s="18" t="s">
        <v>46</v>
      </c>
      <c r="B20" s="13"/>
      <c r="C20" s="13"/>
      <c r="D20" s="13"/>
      <c r="E20" s="13"/>
      <c r="F20" s="13"/>
      <c r="G20" s="13"/>
      <c r="H20" s="13"/>
      <c r="I20" s="13"/>
      <c r="J20" s="13"/>
      <c r="K20" s="13"/>
      <c r="L20" s="13"/>
      <c r="M20" s="13"/>
      <c r="N20" s="13"/>
    </row>
    <row r="21" spans="1:16" ht="11.25">
      <c r="A21" s="12" t="s">
        <v>75</v>
      </c>
      <c r="B21" s="13">
        <f>58615000</f>
        <v>58615000</v>
      </c>
      <c r="C21" s="13">
        <v>109630000</v>
      </c>
      <c r="D21" s="13">
        <v>126540000</v>
      </c>
      <c r="E21" s="13">
        <v>39805000</v>
      </c>
      <c r="F21" s="13">
        <v>33630000</v>
      </c>
      <c r="G21" s="13">
        <v>25935000</v>
      </c>
      <c r="H21" s="13">
        <v>113240000</v>
      </c>
      <c r="I21" s="13">
        <v>28975000</v>
      </c>
      <c r="J21" s="13">
        <f>SUM(B21:F21)*0.1</f>
        <v>36822000</v>
      </c>
      <c r="K21" s="13">
        <f>158975000</f>
        <v>158975000</v>
      </c>
      <c r="L21" s="13">
        <v>115500000</v>
      </c>
      <c r="M21" s="13">
        <v>100000</v>
      </c>
      <c r="N21" s="13">
        <f>+SUM(B21:M21)</f>
        <v>847767000</v>
      </c>
      <c r="P21" s="70"/>
    </row>
    <row r="22" spans="1:14" ht="11.25">
      <c r="A22" s="12" t="s">
        <v>64</v>
      </c>
      <c r="B22" s="13">
        <v>1000000</v>
      </c>
      <c r="C22" s="13">
        <v>500000</v>
      </c>
      <c r="D22" s="13">
        <v>500000</v>
      </c>
      <c r="E22" s="13">
        <v>700000</v>
      </c>
      <c r="F22" s="13">
        <v>100000</v>
      </c>
      <c r="G22" s="13">
        <v>600000</v>
      </c>
      <c r="H22" s="13">
        <v>900000</v>
      </c>
      <c r="I22" s="13">
        <v>400000</v>
      </c>
      <c r="J22" s="13">
        <f>SUM(B22:F22)*0.1</f>
        <v>280000</v>
      </c>
      <c r="K22" s="13">
        <v>1500000</v>
      </c>
      <c r="L22" s="13">
        <v>2000175</v>
      </c>
      <c r="M22" s="13"/>
      <c r="N22" s="13">
        <f>+SUM(B22:M22)</f>
        <v>8480175</v>
      </c>
    </row>
    <row r="23" spans="1:14" ht="11.25">
      <c r="A23" s="12" t="s">
        <v>47</v>
      </c>
      <c r="B23" s="25">
        <v>0</v>
      </c>
      <c r="C23" s="25">
        <v>0</v>
      </c>
      <c r="D23" s="25">
        <v>0</v>
      </c>
      <c r="E23" s="25">
        <v>1500</v>
      </c>
      <c r="F23" s="25">
        <v>25000</v>
      </c>
      <c r="G23" s="25">
        <v>0</v>
      </c>
      <c r="H23" s="25">
        <v>0</v>
      </c>
      <c r="I23" s="25">
        <v>0</v>
      </c>
      <c r="J23" s="25">
        <f>SUM(B23:F23)*0.1</f>
        <v>2650</v>
      </c>
      <c r="K23" s="25">
        <v>25000</v>
      </c>
      <c r="L23" s="25">
        <v>105000</v>
      </c>
      <c r="M23" s="25"/>
      <c r="N23" s="25">
        <f>+SUM(B23:M23)</f>
        <v>159150</v>
      </c>
    </row>
    <row r="24" spans="1:14" ht="11.25">
      <c r="A24" s="12" t="s">
        <v>80</v>
      </c>
      <c r="B24" s="14">
        <v>584000</v>
      </c>
      <c r="C24" s="14">
        <v>1083000</v>
      </c>
      <c r="D24" s="14">
        <v>1011000</v>
      </c>
      <c r="E24" s="14">
        <v>215000</v>
      </c>
      <c r="F24" s="14">
        <v>400000</v>
      </c>
      <c r="G24" s="14">
        <v>193000</v>
      </c>
      <c r="H24" s="14">
        <v>895325</v>
      </c>
      <c r="I24" s="14">
        <v>70250</v>
      </c>
      <c r="J24" s="14">
        <v>219300</v>
      </c>
      <c r="K24" s="14">
        <v>930000</v>
      </c>
      <c r="L24" s="14">
        <v>1125000</v>
      </c>
      <c r="M24" s="14">
        <v>0</v>
      </c>
      <c r="N24" s="14">
        <f>+SUM(B24:M24)</f>
        <v>6725875</v>
      </c>
    </row>
    <row r="25" spans="1:14" ht="11.25">
      <c r="A25" s="18" t="s">
        <v>48</v>
      </c>
      <c r="B25" s="16">
        <f>B21+B22-B23-B24</f>
        <v>59031000</v>
      </c>
      <c r="C25" s="16">
        <f aca="true" t="shared" si="3" ref="C25:N25">C21+C22-C23-C24</f>
        <v>109047000</v>
      </c>
      <c r="D25" s="16">
        <f t="shared" si="3"/>
        <v>126029000</v>
      </c>
      <c r="E25" s="16">
        <f t="shared" si="3"/>
        <v>40288500</v>
      </c>
      <c r="F25" s="16">
        <f t="shared" si="3"/>
        <v>33305000</v>
      </c>
      <c r="G25" s="16">
        <f t="shared" si="3"/>
        <v>26342000</v>
      </c>
      <c r="H25" s="16">
        <f t="shared" si="3"/>
        <v>113244675</v>
      </c>
      <c r="I25" s="16">
        <f t="shared" si="3"/>
        <v>29304750</v>
      </c>
      <c r="J25" s="16">
        <f t="shared" si="3"/>
        <v>36880050</v>
      </c>
      <c r="K25" s="16">
        <f t="shared" si="3"/>
        <v>159520000</v>
      </c>
      <c r="L25" s="16">
        <f t="shared" si="3"/>
        <v>116270175</v>
      </c>
      <c r="M25" s="16">
        <f t="shared" si="3"/>
        <v>100000</v>
      </c>
      <c r="N25" s="16">
        <f t="shared" si="3"/>
        <v>849362150</v>
      </c>
    </row>
    <row r="26" spans="1:14" ht="11.25">
      <c r="A26" s="19"/>
      <c r="B26" s="13"/>
      <c r="C26" s="13"/>
      <c r="D26" s="13"/>
      <c r="E26" s="13"/>
      <c r="F26" s="13"/>
      <c r="G26" s="13"/>
      <c r="H26" s="13"/>
      <c r="I26" s="13"/>
      <c r="J26" s="13"/>
      <c r="K26" s="13"/>
      <c r="L26" s="13"/>
      <c r="M26" s="13"/>
      <c r="N26" s="13"/>
    </row>
    <row r="27" spans="1:14" ht="11.25">
      <c r="A27" s="19" t="s">
        <v>49</v>
      </c>
      <c r="B27" s="13">
        <v>9200000</v>
      </c>
      <c r="C27" s="13">
        <v>4600000</v>
      </c>
      <c r="D27" s="13">
        <v>3300000</v>
      </c>
      <c r="E27" s="13">
        <v>4900000</v>
      </c>
      <c r="F27" s="13">
        <v>1300000</v>
      </c>
      <c r="G27" s="13">
        <v>300000</v>
      </c>
      <c r="H27" s="13">
        <v>21900000</v>
      </c>
      <c r="I27" s="13"/>
      <c r="J27" s="13">
        <f>SUM(B27:F27)*0.1</f>
        <v>2330000</v>
      </c>
      <c r="K27" s="13">
        <v>5000000</v>
      </c>
      <c r="L27" s="13">
        <v>3500000</v>
      </c>
      <c r="M27" s="13">
        <v>0</v>
      </c>
      <c r="N27" s="13">
        <f>+SUM(B27:M27)</f>
        <v>56330000</v>
      </c>
    </row>
    <row r="28" spans="1:14" ht="12" thickBot="1">
      <c r="A28" s="19"/>
      <c r="B28" s="13"/>
      <c r="C28" s="13"/>
      <c r="D28" s="13"/>
      <c r="E28" s="13"/>
      <c r="F28" s="13"/>
      <c r="G28" s="13"/>
      <c r="H28" s="13"/>
      <c r="I28" s="13"/>
      <c r="J28" s="13"/>
      <c r="K28" s="13"/>
      <c r="L28" s="13"/>
      <c r="M28" s="13"/>
      <c r="N28" s="13"/>
    </row>
    <row r="29" spans="1:14" ht="12" thickBot="1">
      <c r="A29" s="20" t="s">
        <v>58</v>
      </c>
      <c r="B29" s="21">
        <f>+B18-B25+B27</f>
        <v>1774600</v>
      </c>
      <c r="C29" s="21">
        <f aca="true" t="shared" si="4" ref="C29:N29">+C18-C25+C27</f>
        <v>9092700</v>
      </c>
      <c r="D29" s="21">
        <f t="shared" si="4"/>
        <v>11219740</v>
      </c>
      <c r="E29" s="21">
        <f t="shared" si="4"/>
        <v>1310000</v>
      </c>
      <c r="F29" s="21">
        <f t="shared" si="4"/>
        <v>3255000</v>
      </c>
      <c r="G29" s="21">
        <f t="shared" si="4"/>
        <v>-49040</v>
      </c>
      <c r="H29" s="21">
        <f t="shared" si="4"/>
        <v>8782145</v>
      </c>
      <c r="I29" s="21">
        <f t="shared" si="4"/>
        <v>1208850</v>
      </c>
      <c r="J29" s="21">
        <f t="shared" si="4"/>
        <v>2555204</v>
      </c>
      <c r="K29" s="21">
        <f t="shared" si="4"/>
        <v>-40978000</v>
      </c>
      <c r="L29" s="21">
        <f t="shared" si="4"/>
        <v>31654825</v>
      </c>
      <c r="M29" s="21">
        <f t="shared" si="4"/>
        <v>-10560</v>
      </c>
      <c r="N29" s="21">
        <f t="shared" si="4"/>
        <v>29815464</v>
      </c>
    </row>
    <row r="30" spans="1:14" ht="11.25">
      <c r="A30" s="18" t="s">
        <v>27</v>
      </c>
      <c r="B30" s="22">
        <f>B29/B18</f>
        <v>0.034387740865332445</v>
      </c>
      <c r="C30" s="22">
        <f aca="true" t="shared" si="5" ref="C30:N30">C29/C18</f>
        <v>0.08008388255385561</v>
      </c>
      <c r="D30" s="22">
        <f t="shared" si="5"/>
        <v>0.08376144486316184</v>
      </c>
      <c r="E30" s="22">
        <f t="shared" si="5"/>
        <v>0.035696281864381375</v>
      </c>
      <c r="F30" s="22">
        <f t="shared" si="5"/>
        <v>0.09231423709585933</v>
      </c>
      <c r="G30" s="22">
        <f t="shared" si="5"/>
        <v>-0.001886664696902546</v>
      </c>
      <c r="H30" s="22">
        <f t="shared" si="5"/>
        <v>0.0877102159041903</v>
      </c>
      <c r="I30" s="22">
        <f t="shared" si="5"/>
        <v>0.03961676105081013</v>
      </c>
      <c r="J30" s="22">
        <f>J29/J18</f>
        <v>0.06886367089684928</v>
      </c>
      <c r="K30" s="22">
        <f>K29/K18</f>
        <v>-0.36090609642246924</v>
      </c>
      <c r="L30" s="22">
        <f>L29/L18</f>
        <v>0.2191782932317812</v>
      </c>
      <c r="M30" s="22">
        <f t="shared" si="5"/>
        <v>-0.11806797853309481</v>
      </c>
      <c r="N30" s="22">
        <f t="shared" si="5"/>
        <v>0.036234490436281436</v>
      </c>
    </row>
    <row r="31" spans="1:14" ht="11.25">
      <c r="A31" s="1" t="s">
        <v>41</v>
      </c>
      <c r="B31" s="23">
        <v>150000</v>
      </c>
      <c r="C31" s="23">
        <v>1410000</v>
      </c>
      <c r="D31" s="23">
        <v>670000</v>
      </c>
      <c r="E31" s="23">
        <v>320000</v>
      </c>
      <c r="F31" s="23">
        <v>120000</v>
      </c>
      <c r="G31" s="23">
        <v>250000</v>
      </c>
      <c r="H31" s="23">
        <v>210000</v>
      </c>
      <c r="I31" s="23">
        <v>50000</v>
      </c>
      <c r="J31" s="23">
        <v>50000</v>
      </c>
      <c r="K31" s="23">
        <v>800000</v>
      </c>
      <c r="L31" s="23">
        <v>500000</v>
      </c>
      <c r="M31" s="23">
        <v>10000</v>
      </c>
      <c r="N31" s="23">
        <v>4040000</v>
      </c>
    </row>
    <row r="32" spans="1:14" ht="11.25">
      <c r="A32" s="1"/>
      <c r="B32" s="23"/>
      <c r="C32" s="23"/>
      <c r="D32" s="23"/>
      <c r="E32" s="23"/>
      <c r="F32" s="23"/>
      <c r="G32" s="23"/>
      <c r="H32" s="23"/>
      <c r="I32" s="23"/>
      <c r="J32" s="23"/>
      <c r="K32" s="23"/>
      <c r="L32" s="23"/>
      <c r="M32" s="23"/>
      <c r="N32" s="23"/>
    </row>
    <row r="33" spans="1:14" ht="11.25">
      <c r="A33" s="19" t="s">
        <v>61</v>
      </c>
      <c r="B33" s="23"/>
      <c r="C33" s="23"/>
      <c r="D33" s="23"/>
      <c r="E33" s="23"/>
      <c r="F33" s="23"/>
      <c r="G33" s="23"/>
      <c r="H33" s="23"/>
      <c r="I33" s="23"/>
      <c r="J33" s="23"/>
      <c r="K33" s="23"/>
      <c r="L33" s="23"/>
      <c r="M33" s="23"/>
      <c r="N33" s="65">
        <v>500000</v>
      </c>
    </row>
    <row r="34" spans="1:14" ht="15.75" thickBot="1">
      <c r="A34" s="19" t="s">
        <v>62</v>
      </c>
      <c r="B34" s="72"/>
      <c r="C34" s="72"/>
      <c r="D34" s="72"/>
      <c r="E34" s="72"/>
      <c r="F34" s="72"/>
      <c r="G34" s="72"/>
      <c r="H34" s="72"/>
      <c r="I34" s="72"/>
      <c r="J34" s="72"/>
      <c r="K34" s="72"/>
      <c r="L34" s="22"/>
      <c r="M34" s="22"/>
      <c r="N34" s="66">
        <f>N29+N33</f>
        <v>30315464</v>
      </c>
    </row>
    <row r="35" spans="1:14" ht="12.75" thickBot="1" thickTop="1">
      <c r="A35" s="19"/>
      <c r="B35" s="1"/>
      <c r="C35" s="24"/>
      <c r="D35" s="1"/>
      <c r="E35" s="1"/>
      <c r="F35" s="1"/>
      <c r="G35" s="1"/>
      <c r="H35" s="1"/>
      <c r="I35" s="1"/>
      <c r="J35" s="1"/>
      <c r="K35" s="1"/>
      <c r="L35" s="1"/>
      <c r="M35" s="1"/>
      <c r="N35" s="25"/>
    </row>
    <row r="36" spans="1:14" ht="12" thickBot="1">
      <c r="A36" s="26" t="s">
        <v>10</v>
      </c>
      <c r="B36" s="1"/>
      <c r="C36" s="1"/>
      <c r="D36" s="13"/>
      <c r="E36" s="13"/>
      <c r="F36" s="13"/>
      <c r="G36" s="1"/>
      <c r="H36" s="1"/>
      <c r="I36" s="1"/>
      <c r="J36" s="1"/>
      <c r="K36" s="1"/>
      <c r="L36" s="1"/>
      <c r="M36" s="1"/>
      <c r="N36" s="13"/>
    </row>
    <row r="37" spans="1:14" ht="11.25">
      <c r="A37" s="19"/>
      <c r="B37" s="27"/>
      <c r="C37" s="27"/>
      <c r="D37" s="28"/>
      <c r="E37" s="1"/>
      <c r="F37" s="29"/>
      <c r="G37" s="29"/>
      <c r="H37" s="1"/>
      <c r="I37" s="1"/>
      <c r="J37" s="1"/>
      <c r="K37" s="1"/>
      <c r="L37" s="1"/>
      <c r="M37" s="1"/>
      <c r="N37" s="1"/>
    </row>
    <row r="38" spans="1:16" ht="22.5" customHeight="1">
      <c r="A38" s="67" t="s">
        <v>76</v>
      </c>
      <c r="B38" s="13">
        <f>N18</f>
        <v>822847614</v>
      </c>
      <c r="C38" s="30"/>
      <c r="D38" s="31"/>
      <c r="E38" s="32"/>
      <c r="F38" s="32"/>
      <c r="G38" s="32"/>
      <c r="H38" s="32"/>
      <c r="I38" s="32"/>
      <c r="J38" s="32"/>
      <c r="K38" s="32"/>
      <c r="L38" s="32"/>
      <c r="M38" s="32"/>
      <c r="N38" s="32"/>
      <c r="O38" s="71"/>
      <c r="P38" s="71"/>
    </row>
    <row r="39" spans="1:16" ht="12.75">
      <c r="A39" s="1" t="s">
        <v>33</v>
      </c>
      <c r="B39" s="13">
        <f>N34</f>
        <v>30315464</v>
      </c>
      <c r="C39" s="31"/>
      <c r="D39" s="31"/>
      <c r="E39" s="32"/>
      <c r="F39" s="32"/>
      <c r="G39" s="32"/>
      <c r="H39" s="32"/>
      <c r="I39" s="32"/>
      <c r="J39" s="32"/>
      <c r="K39" s="32"/>
      <c r="L39" s="32"/>
      <c r="M39" s="32"/>
      <c r="N39" s="32"/>
      <c r="O39" s="71"/>
      <c r="P39" s="71"/>
    </row>
    <row r="40" spans="1:16" ht="12.75">
      <c r="A40" s="1" t="s">
        <v>27</v>
      </c>
      <c r="B40" s="22">
        <f>B39/B38</f>
        <v>0.03684213636183674</v>
      </c>
      <c r="C40" s="31"/>
      <c r="D40" s="31"/>
      <c r="E40" s="31"/>
      <c r="F40" s="32"/>
      <c r="G40" s="32"/>
      <c r="H40" s="32"/>
      <c r="I40" s="32"/>
      <c r="J40" s="32"/>
      <c r="K40" s="32"/>
      <c r="L40" s="32"/>
      <c r="M40" s="32"/>
      <c r="N40" s="32"/>
      <c r="O40" s="71"/>
      <c r="P40" s="71"/>
    </row>
    <row r="41" spans="1:16" ht="12.75">
      <c r="A41" s="1"/>
      <c r="B41" s="13"/>
      <c r="C41" s="31"/>
      <c r="D41" s="31"/>
      <c r="E41" s="32"/>
      <c r="F41" s="32"/>
      <c r="G41" s="32"/>
      <c r="H41" s="32"/>
      <c r="I41" s="32"/>
      <c r="J41" s="32"/>
      <c r="K41" s="32"/>
      <c r="L41" s="32"/>
      <c r="M41" s="32"/>
      <c r="N41" s="32"/>
      <c r="O41" s="71"/>
      <c r="P41" s="71"/>
    </row>
    <row r="42" spans="1:16" ht="12.75">
      <c r="A42" s="1"/>
      <c r="B42" s="33"/>
      <c r="C42" s="31"/>
      <c r="D42" s="31"/>
      <c r="E42" s="32"/>
      <c r="F42" s="32"/>
      <c r="G42" s="32"/>
      <c r="H42" s="32"/>
      <c r="I42" s="32"/>
      <c r="J42" s="32"/>
      <c r="K42" s="32"/>
      <c r="L42" s="32"/>
      <c r="M42" s="32"/>
      <c r="N42" s="32"/>
      <c r="O42" s="71"/>
      <c r="P42" s="71"/>
    </row>
    <row r="43" spans="1:16" ht="12.75">
      <c r="A43" s="1"/>
      <c r="B43" s="1"/>
      <c r="C43" s="32"/>
      <c r="D43" s="31"/>
      <c r="E43" s="31"/>
      <c r="F43" s="32"/>
      <c r="G43" s="32"/>
      <c r="H43" s="32"/>
      <c r="I43" s="32"/>
      <c r="J43" s="32"/>
      <c r="K43" s="32"/>
      <c r="L43" s="32"/>
      <c r="M43" s="32"/>
      <c r="N43" s="32"/>
      <c r="O43" s="71"/>
      <c r="P43" s="71"/>
    </row>
    <row r="44" spans="1:16" ht="12.75">
      <c r="A44" s="19" t="s">
        <v>35</v>
      </c>
      <c r="B44" s="34">
        <f>IF(B39&gt;0,-SUM(E51:E55),-SUM(E60:E62))</f>
        <v>-2815017.790000001</v>
      </c>
      <c r="C44" s="32"/>
      <c r="D44" s="31"/>
      <c r="E44" s="31"/>
      <c r="F44" s="31"/>
      <c r="G44" s="32"/>
      <c r="H44" s="32"/>
      <c r="I44" s="31"/>
      <c r="J44" s="32"/>
      <c r="K44" s="32"/>
      <c r="L44" s="32"/>
      <c r="M44" s="32"/>
      <c r="N44" s="32"/>
      <c r="O44" s="71"/>
      <c r="P44" s="71"/>
    </row>
    <row r="45" spans="1:16" ht="12.75">
      <c r="A45" s="68"/>
      <c r="B45" s="34"/>
      <c r="C45" s="32"/>
      <c r="D45" s="31"/>
      <c r="E45" s="31"/>
      <c r="F45" s="32"/>
      <c r="G45" s="32"/>
      <c r="H45" s="32"/>
      <c r="I45" s="31"/>
      <c r="J45" s="32"/>
      <c r="K45" s="32"/>
      <c r="L45" s="32"/>
      <c r="M45" s="32"/>
      <c r="N45" s="32"/>
      <c r="O45" s="71"/>
      <c r="P45" s="71"/>
    </row>
    <row r="46" spans="1:16" ht="12.75">
      <c r="A46" s="19" t="s">
        <v>9</v>
      </c>
      <c r="B46" s="25">
        <f>(B44)/0.98-(B44)</f>
        <v>-57449.34265306126</v>
      </c>
      <c r="C46" s="35"/>
      <c r="D46" s="31"/>
      <c r="E46" s="32"/>
      <c r="F46" s="32"/>
      <c r="G46" s="32"/>
      <c r="H46" s="32"/>
      <c r="I46" s="32"/>
      <c r="J46" s="32"/>
      <c r="K46" s="32"/>
      <c r="L46" s="32"/>
      <c r="M46" s="32"/>
      <c r="N46" s="32"/>
      <c r="O46" s="71"/>
      <c r="P46" s="71"/>
    </row>
    <row r="47" spans="1:16" ht="13.5" thickBot="1">
      <c r="A47" s="19" t="s">
        <v>34</v>
      </c>
      <c r="B47" s="36">
        <f>SUM(B44:B46)</f>
        <v>-2872467.132653062</v>
      </c>
      <c r="C47" s="32"/>
      <c r="D47" s="32"/>
      <c r="E47" s="32"/>
      <c r="F47" s="32"/>
      <c r="G47" s="32"/>
      <c r="H47" s="32"/>
      <c r="I47" s="32"/>
      <c r="J47" s="32"/>
      <c r="K47" s="32"/>
      <c r="L47" s="32"/>
      <c r="M47" s="32"/>
      <c r="N47" s="32"/>
      <c r="O47" s="71"/>
      <c r="P47" s="71"/>
    </row>
    <row r="48" spans="1:16" ht="13.5" thickTop="1">
      <c r="A48" s="1"/>
      <c r="B48" s="1"/>
      <c r="C48" s="32"/>
      <c r="D48" s="32"/>
      <c r="E48" s="32"/>
      <c r="F48" s="32"/>
      <c r="G48" s="32"/>
      <c r="H48" s="32"/>
      <c r="I48" s="32"/>
      <c r="J48" s="32"/>
      <c r="K48" s="32"/>
      <c r="L48" s="32"/>
      <c r="M48" s="32"/>
      <c r="N48" s="32"/>
      <c r="O48" s="71"/>
      <c r="P48" s="71"/>
    </row>
    <row r="49" spans="1:14" ht="12">
      <c r="A49" s="1"/>
      <c r="B49" s="13"/>
      <c r="C49" s="37"/>
      <c r="D49" s="37" t="s">
        <v>24</v>
      </c>
      <c r="E49" s="37"/>
      <c r="F49" s="37"/>
      <c r="G49" s="37"/>
      <c r="H49" s="1"/>
      <c r="I49" s="1"/>
      <c r="J49" s="1"/>
      <c r="K49" s="1"/>
      <c r="L49" s="1"/>
      <c r="M49" s="38"/>
      <c r="N49" s="1"/>
    </row>
    <row r="50" spans="1:14" ht="12">
      <c r="A50" s="1" t="s">
        <v>22</v>
      </c>
      <c r="B50" s="1" t="s">
        <v>11</v>
      </c>
      <c r="C50" s="37" t="s">
        <v>12</v>
      </c>
      <c r="D50" s="37" t="s">
        <v>25</v>
      </c>
      <c r="E50" s="37" t="s">
        <v>13</v>
      </c>
      <c r="F50" s="37"/>
      <c r="G50" s="37" t="s">
        <v>26</v>
      </c>
      <c r="H50" s="1"/>
      <c r="I50" s="1"/>
      <c r="J50" s="1"/>
      <c r="K50" s="1"/>
      <c r="L50" s="1"/>
      <c r="M50" s="39"/>
      <c r="N50" s="1"/>
    </row>
    <row r="51" spans="1:14" ht="12">
      <c r="A51" s="1"/>
      <c r="B51" s="40" t="s">
        <v>23</v>
      </c>
      <c r="C51" s="41">
        <v>0</v>
      </c>
      <c r="D51" s="42">
        <f>IF(G51&lt;=0,0,IF($B$38*0.03&gt;G51,G51,$B$38*0.03))</f>
        <v>24685428.419999998</v>
      </c>
      <c r="E51" s="42">
        <f>+C51*D51</f>
        <v>0</v>
      </c>
      <c r="F51" s="1"/>
      <c r="G51" s="43">
        <f>+IF(B39&lt;0,0,B39)</f>
        <v>30315464</v>
      </c>
      <c r="H51" s="43"/>
      <c r="I51" s="1"/>
      <c r="J51" s="1"/>
      <c r="K51" s="1"/>
      <c r="L51" s="1"/>
      <c r="M51" s="42"/>
      <c r="N51" s="1"/>
    </row>
    <row r="52" spans="1:14" ht="12">
      <c r="A52" s="1"/>
      <c r="B52" s="40" t="s">
        <v>18</v>
      </c>
      <c r="C52" s="41">
        <v>0.5</v>
      </c>
      <c r="D52" s="42">
        <f>IF(G52&lt;=0,0,IF($B$38*0.03&gt;G52,G52,$B$38*0.03))</f>
        <v>5630035.580000002</v>
      </c>
      <c r="E52" s="42">
        <f>+C52*D52</f>
        <v>2815017.790000001</v>
      </c>
      <c r="F52" s="1"/>
      <c r="G52" s="43">
        <f>+G51-D51</f>
        <v>5630035.580000002</v>
      </c>
      <c r="H52" s="43"/>
      <c r="I52" s="1"/>
      <c r="J52" s="1"/>
      <c r="K52" s="1"/>
      <c r="L52" s="1"/>
      <c r="M52" s="42"/>
      <c r="N52" s="1"/>
    </row>
    <row r="53" spans="1:14" ht="12">
      <c r="A53" s="1"/>
      <c r="B53" s="44" t="s">
        <v>29</v>
      </c>
      <c r="C53" s="41">
        <v>1</v>
      </c>
      <c r="D53" s="42">
        <f>IF(G53&lt;=0,0,IF($B$38*0.94&gt;G53,G53,$B$38*0.94))</f>
        <v>0</v>
      </c>
      <c r="E53" s="42">
        <f>+C53*D53</f>
        <v>0</v>
      </c>
      <c r="F53" s="1"/>
      <c r="G53" s="43">
        <f>+G52-D52</f>
        <v>0</v>
      </c>
      <c r="H53" s="33"/>
      <c r="I53" s="1"/>
      <c r="J53" s="1"/>
      <c r="K53" s="1"/>
      <c r="L53" s="1"/>
      <c r="M53" s="42"/>
      <c r="N53" s="1"/>
    </row>
    <row r="54" spans="1:14" ht="12">
      <c r="A54" s="1"/>
      <c r="B54" s="44"/>
      <c r="C54" s="41"/>
      <c r="D54" s="42"/>
      <c r="E54" s="42"/>
      <c r="F54" s="1"/>
      <c r="G54" s="43"/>
      <c r="H54" s="43"/>
      <c r="I54" s="1"/>
      <c r="J54" s="1"/>
      <c r="K54" s="1"/>
      <c r="L54" s="1"/>
      <c r="M54" s="42"/>
      <c r="N54" s="1"/>
    </row>
    <row r="55" spans="1:14" ht="12">
      <c r="A55" s="1"/>
      <c r="B55" s="40"/>
      <c r="C55" s="41"/>
      <c r="D55" s="42"/>
      <c r="E55" s="42"/>
      <c r="F55" s="1"/>
      <c r="G55" s="43"/>
      <c r="H55" s="43"/>
      <c r="I55" s="1"/>
      <c r="J55" s="1"/>
      <c r="K55" s="1"/>
      <c r="L55" s="1"/>
      <c r="M55" s="42"/>
      <c r="N55" s="1"/>
    </row>
    <row r="56" spans="1:14" ht="11.25">
      <c r="A56" s="1"/>
      <c r="B56" s="40"/>
      <c r="C56" s="40"/>
      <c r="D56" s="1"/>
      <c r="E56" s="43"/>
      <c r="F56" s="1"/>
      <c r="G56" s="1"/>
      <c r="H56" s="1"/>
      <c r="I56" s="1"/>
      <c r="J56" s="1"/>
      <c r="K56" s="1"/>
      <c r="L56" s="1"/>
      <c r="M56" s="1"/>
      <c r="N56" s="1"/>
    </row>
    <row r="57" spans="1:14" ht="11.25">
      <c r="A57" s="1"/>
      <c r="B57" s="1"/>
      <c r="C57" s="1"/>
      <c r="D57" s="1"/>
      <c r="E57" s="1"/>
      <c r="F57" s="1"/>
      <c r="G57" s="1"/>
      <c r="H57" s="1"/>
      <c r="I57" s="1"/>
      <c r="J57" s="1"/>
      <c r="K57" s="1"/>
      <c r="L57" s="1"/>
      <c r="M57" s="1"/>
      <c r="N57" s="1"/>
    </row>
    <row r="58" spans="1:14" ht="12">
      <c r="A58" s="1"/>
      <c r="B58" s="13"/>
      <c r="C58" s="37"/>
      <c r="D58" s="37" t="s">
        <v>14</v>
      </c>
      <c r="E58" s="37"/>
      <c r="F58" s="37"/>
      <c r="G58" s="37"/>
      <c r="H58" s="1"/>
      <c r="I58" s="1"/>
      <c r="J58" s="1"/>
      <c r="K58" s="1"/>
      <c r="L58" s="1"/>
      <c r="M58" s="45"/>
      <c r="N58" s="1"/>
    </row>
    <row r="59" spans="1:14" ht="12">
      <c r="A59" s="1" t="s">
        <v>22</v>
      </c>
      <c r="B59" s="1" t="s">
        <v>15</v>
      </c>
      <c r="C59" s="37" t="s">
        <v>12</v>
      </c>
      <c r="D59" s="37" t="s">
        <v>16</v>
      </c>
      <c r="E59" s="37" t="s">
        <v>17</v>
      </c>
      <c r="F59" s="37"/>
      <c r="G59" s="37" t="s">
        <v>26</v>
      </c>
      <c r="H59" s="1"/>
      <c r="I59" s="1"/>
      <c r="J59" s="1"/>
      <c r="K59" s="1"/>
      <c r="L59" s="1"/>
      <c r="M59" s="45"/>
      <c r="N59" s="1"/>
    </row>
    <row r="60" spans="1:14" ht="12">
      <c r="A60" s="1"/>
      <c r="B60" s="40" t="s">
        <v>23</v>
      </c>
      <c r="C60" s="41">
        <v>0</v>
      </c>
      <c r="D60" s="42">
        <f>IF(G60&gt;0,0,IF(-$B$38*0.03&lt;G60,G60,-$B$38*0.03))</f>
        <v>0</v>
      </c>
      <c r="E60" s="42">
        <f>+D60*C60</f>
        <v>0</v>
      </c>
      <c r="F60" s="1"/>
      <c r="G60" s="43">
        <f>+IF(B39&gt;0,0,B39)</f>
        <v>0</v>
      </c>
      <c r="H60" s="43"/>
      <c r="I60" s="1"/>
      <c r="J60" s="1"/>
      <c r="K60" s="1"/>
      <c r="L60" s="1"/>
      <c r="M60" s="42"/>
      <c r="N60" s="1"/>
    </row>
    <row r="61" spans="1:14" ht="12">
      <c r="A61" s="1"/>
      <c r="B61" s="40" t="s">
        <v>30</v>
      </c>
      <c r="C61" s="41">
        <v>1</v>
      </c>
      <c r="D61" s="42">
        <f>IF(G61&gt;0,0,IF(-$B$38*0.97&lt;G61,G61,-$B$38*0.97))</f>
        <v>0</v>
      </c>
      <c r="E61" s="42">
        <f>+D61*C61</f>
        <v>0</v>
      </c>
      <c r="F61" s="1"/>
      <c r="G61" s="43">
        <f>+G60-D60</f>
        <v>0</v>
      </c>
      <c r="H61" s="43"/>
      <c r="I61" s="1"/>
      <c r="J61" s="1"/>
      <c r="K61" s="1"/>
      <c r="L61" s="1"/>
      <c r="M61" s="42"/>
      <c r="N61" s="1"/>
    </row>
    <row r="62" spans="1:14" ht="12">
      <c r="A62" s="1"/>
      <c r="B62" s="40"/>
      <c r="C62" s="41"/>
      <c r="D62" s="42"/>
      <c r="E62" s="42"/>
      <c r="F62" s="1"/>
      <c r="G62" s="43"/>
      <c r="H62" s="43"/>
      <c r="I62" s="1"/>
      <c r="J62" s="1"/>
      <c r="K62" s="1"/>
      <c r="L62" s="1"/>
      <c r="M62" s="42"/>
      <c r="N62" s="1"/>
    </row>
    <row r="63" spans="1:14" ht="12">
      <c r="A63" s="1"/>
      <c r="B63" s="40"/>
      <c r="C63" s="41"/>
      <c r="D63" s="42"/>
      <c r="E63" s="42"/>
      <c r="F63" s="1"/>
      <c r="G63" s="1"/>
      <c r="H63" s="43"/>
      <c r="I63" s="1"/>
      <c r="J63" s="1"/>
      <c r="K63" s="1"/>
      <c r="L63" s="1"/>
      <c r="M63" s="1"/>
      <c r="N63" s="1"/>
    </row>
    <row r="64" spans="1:14" ht="12">
      <c r="A64" s="1"/>
      <c r="B64" s="40"/>
      <c r="C64" s="41"/>
      <c r="D64" s="42"/>
      <c r="E64" s="42"/>
      <c r="F64" s="1"/>
      <c r="G64" s="1"/>
      <c r="H64" s="43"/>
      <c r="I64" s="1"/>
      <c r="J64" s="1"/>
      <c r="K64" s="1"/>
      <c r="L64" s="1"/>
      <c r="M64" s="1"/>
      <c r="N64" s="1"/>
    </row>
    <row r="65" spans="1:14" ht="12" thickBot="1">
      <c r="A65" s="1"/>
      <c r="B65" s="1"/>
      <c r="C65" s="1"/>
      <c r="D65" s="1"/>
      <c r="E65" s="1"/>
      <c r="F65" s="1"/>
      <c r="G65" s="1"/>
      <c r="H65" s="1"/>
      <c r="I65" s="1"/>
      <c r="J65" s="1"/>
      <c r="K65" s="1"/>
      <c r="L65" s="1"/>
      <c r="M65" s="1"/>
      <c r="N65" s="1"/>
    </row>
    <row r="66" spans="1:14" s="71" customFormat="1" ht="12.75">
      <c r="A66" s="46" t="s">
        <v>19</v>
      </c>
      <c r="B66" s="47"/>
      <c r="C66" s="47"/>
      <c r="D66" s="47"/>
      <c r="E66" s="47"/>
      <c r="F66" s="47"/>
      <c r="G66" s="47"/>
      <c r="H66" s="48"/>
      <c r="I66" s="32"/>
      <c r="J66" s="32"/>
      <c r="K66" s="32"/>
      <c r="L66" s="32"/>
      <c r="M66" s="32"/>
      <c r="N66" s="32"/>
    </row>
    <row r="67" spans="1:14" s="71" customFormat="1" ht="12.75">
      <c r="A67" s="49" t="s">
        <v>69</v>
      </c>
      <c r="B67" s="50"/>
      <c r="C67" s="51"/>
      <c r="D67" s="51"/>
      <c r="E67" s="50"/>
      <c r="F67" s="50"/>
      <c r="G67" s="50"/>
      <c r="H67" s="52"/>
      <c r="I67" s="32"/>
      <c r="J67" s="32"/>
      <c r="K67" s="32"/>
      <c r="L67" s="32"/>
      <c r="M67" s="32"/>
      <c r="N67" s="32"/>
    </row>
    <row r="68" spans="1:14" s="71" customFormat="1" ht="12.75">
      <c r="A68" s="49" t="s">
        <v>66</v>
      </c>
      <c r="B68" s="53"/>
      <c r="C68" s="54"/>
      <c r="D68" s="54"/>
      <c r="E68" s="53"/>
      <c r="F68" s="53"/>
      <c r="G68" s="53"/>
      <c r="H68" s="52"/>
      <c r="I68" s="32"/>
      <c r="J68" s="32"/>
      <c r="K68" s="32"/>
      <c r="L68" s="32"/>
      <c r="M68" s="32"/>
      <c r="N68" s="32"/>
    </row>
    <row r="69" spans="1:14" s="71" customFormat="1" ht="12.75">
      <c r="A69" s="49" t="s">
        <v>36</v>
      </c>
      <c r="B69" s="53"/>
      <c r="C69" s="54"/>
      <c r="D69" s="54"/>
      <c r="E69" s="53"/>
      <c r="F69" s="53"/>
      <c r="G69" s="53"/>
      <c r="H69" s="52"/>
      <c r="I69" s="32"/>
      <c r="J69" s="32"/>
      <c r="K69" s="32"/>
      <c r="L69" s="32"/>
      <c r="M69" s="32"/>
      <c r="N69" s="32"/>
    </row>
    <row r="70" spans="1:14" s="71" customFormat="1" ht="12.75">
      <c r="A70" s="49" t="s">
        <v>78</v>
      </c>
      <c r="B70" s="53"/>
      <c r="C70" s="53"/>
      <c r="D70" s="53"/>
      <c r="E70" s="53"/>
      <c r="F70" s="53"/>
      <c r="G70" s="53"/>
      <c r="H70" s="52"/>
      <c r="I70" s="32"/>
      <c r="J70" s="32"/>
      <c r="K70" s="32"/>
      <c r="L70" s="32"/>
      <c r="M70" s="32"/>
      <c r="N70" s="32"/>
    </row>
    <row r="71" spans="1:14" s="71" customFormat="1" ht="12.75">
      <c r="A71" s="55" t="s">
        <v>70</v>
      </c>
      <c r="B71" s="53"/>
      <c r="C71" s="53"/>
      <c r="D71" s="53"/>
      <c r="E71" s="53"/>
      <c r="F71" s="53"/>
      <c r="G71" s="53"/>
      <c r="H71" s="52"/>
      <c r="I71" s="32"/>
      <c r="J71" s="32"/>
      <c r="K71" s="32"/>
      <c r="L71" s="32"/>
      <c r="M71" s="32"/>
      <c r="N71" s="32"/>
    </row>
    <row r="72" spans="1:14" s="71" customFormat="1" ht="12.75">
      <c r="A72" s="56" t="s">
        <v>38</v>
      </c>
      <c r="B72" s="53"/>
      <c r="C72" s="53"/>
      <c r="D72" s="53"/>
      <c r="E72" s="53"/>
      <c r="F72" s="53"/>
      <c r="G72" s="53"/>
      <c r="H72" s="52"/>
      <c r="I72" s="32"/>
      <c r="J72" s="32"/>
      <c r="K72" s="32"/>
      <c r="L72" s="32"/>
      <c r="M72" s="32"/>
      <c r="N72" s="32"/>
    </row>
    <row r="73" spans="1:14" ht="12.75">
      <c r="A73" s="57" t="s">
        <v>81</v>
      </c>
      <c r="B73" s="51"/>
      <c r="C73" s="51"/>
      <c r="D73" s="51"/>
      <c r="E73" s="51"/>
      <c r="F73" s="51"/>
      <c r="G73" s="51"/>
      <c r="H73" s="58"/>
      <c r="I73" s="1"/>
      <c r="J73" s="1"/>
      <c r="K73" s="1"/>
      <c r="L73" s="1"/>
      <c r="M73" s="1"/>
      <c r="N73" s="1"/>
    </row>
    <row r="74" spans="1:14" ht="12.75">
      <c r="A74" s="55" t="s">
        <v>67</v>
      </c>
      <c r="B74" s="51"/>
      <c r="C74" s="51"/>
      <c r="D74" s="51"/>
      <c r="E74" s="51"/>
      <c r="F74" s="51"/>
      <c r="G74" s="51"/>
      <c r="H74" s="58"/>
      <c r="I74" s="1"/>
      <c r="J74" s="1"/>
      <c r="K74" s="1"/>
      <c r="L74" s="1"/>
      <c r="M74" s="1"/>
      <c r="N74" s="1"/>
    </row>
    <row r="75" spans="1:14" ht="12.75">
      <c r="A75" s="57" t="s">
        <v>71</v>
      </c>
      <c r="B75" s="51"/>
      <c r="C75" s="51"/>
      <c r="D75" s="51"/>
      <c r="E75" s="51"/>
      <c r="F75" s="51"/>
      <c r="G75" s="51"/>
      <c r="H75" s="58"/>
      <c r="I75" s="1"/>
      <c r="J75" s="1"/>
      <c r="K75" s="1"/>
      <c r="L75" s="1"/>
      <c r="M75" s="1"/>
      <c r="N75" s="1"/>
    </row>
    <row r="76" spans="1:14" ht="12.75">
      <c r="A76" s="59" t="s">
        <v>68</v>
      </c>
      <c r="B76" s="51"/>
      <c r="C76" s="51"/>
      <c r="D76" s="51"/>
      <c r="E76" s="51"/>
      <c r="F76" s="51"/>
      <c r="G76" s="51"/>
      <c r="H76" s="58"/>
      <c r="I76" s="1"/>
      <c r="J76" s="1"/>
      <c r="K76" s="1"/>
      <c r="L76" s="1"/>
      <c r="M76" s="1"/>
      <c r="N76" s="1"/>
    </row>
    <row r="77" spans="1:14" ht="12.75">
      <c r="A77" s="55" t="s">
        <v>72</v>
      </c>
      <c r="B77" s="51"/>
      <c r="C77" s="51"/>
      <c r="D77" s="51"/>
      <c r="E77" s="51"/>
      <c r="F77" s="51"/>
      <c r="G77" s="51"/>
      <c r="H77" s="58"/>
      <c r="I77" s="1"/>
      <c r="J77" s="1"/>
      <c r="K77" s="1"/>
      <c r="L77" s="1"/>
      <c r="M77" s="1"/>
      <c r="N77" s="1"/>
    </row>
    <row r="78" spans="1:14" ht="12.75">
      <c r="A78" s="55" t="s">
        <v>52</v>
      </c>
      <c r="B78" s="51"/>
      <c r="C78" s="51"/>
      <c r="D78" s="51"/>
      <c r="E78" s="51"/>
      <c r="F78" s="51"/>
      <c r="G78" s="51"/>
      <c r="H78" s="58"/>
      <c r="I78" s="1"/>
      <c r="J78" s="1"/>
      <c r="K78" s="1"/>
      <c r="L78" s="1"/>
      <c r="M78" s="1"/>
      <c r="N78" s="1"/>
    </row>
    <row r="79" spans="1:14" ht="13.5" thickBot="1">
      <c r="A79" s="60" t="s">
        <v>73</v>
      </c>
      <c r="B79" s="61"/>
      <c r="C79" s="61"/>
      <c r="D79" s="61"/>
      <c r="E79" s="61"/>
      <c r="F79" s="61"/>
      <c r="G79" s="61"/>
      <c r="H79" s="62"/>
      <c r="I79" s="1"/>
      <c r="J79" s="1"/>
      <c r="K79" s="1"/>
      <c r="L79" s="1"/>
      <c r="M79" s="1"/>
      <c r="N79" s="1"/>
    </row>
  </sheetData>
  <sheetProtection/>
  <printOptions/>
  <pageMargins left="0.75" right="0.75" top="1" bottom="1" header="0.5" footer="0.5"/>
  <pageSetup fitToHeight="1" fitToWidth="1" horizontalDpi="600" verticalDpi="600" orientation="landscape" scale="41" r:id="rId1"/>
  <headerFooter alignWithMargins="0">
    <oddFooter>&amp;L&amp;"Times New Roman,Bold"Effective Dates: 10/01/17, 09/30/18
Approval Dates: 05/03/18, 01/17/19&amp;C&amp;"Times New Roman,Bold"&amp;12 311 CYE 14 -18, Attachment A - 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81"/>
  <sheetViews>
    <sheetView view="pageLayout" zoomScale="80" zoomScalePageLayoutView="80" workbookViewId="0" topLeftCell="A1">
      <selection activeCell="G1" sqref="G1"/>
    </sheetView>
  </sheetViews>
  <sheetFormatPr defaultColWidth="9.140625" defaultRowHeight="12.75"/>
  <cols>
    <col min="1" max="1" width="56.28125" style="1" customWidth="1"/>
    <col min="2" max="2" width="14.7109375" style="1" bestFit="1" customWidth="1"/>
    <col min="3" max="3" width="15.7109375" style="1" bestFit="1" customWidth="1"/>
    <col min="4" max="4" width="16.140625" style="1" bestFit="1" customWidth="1"/>
    <col min="5" max="6" width="13.00390625" style="1" customWidth="1"/>
    <col min="7" max="7" width="14.57421875" style="1" customWidth="1"/>
    <col min="8" max="8" width="15.57421875" style="1" customWidth="1"/>
    <col min="9" max="9" width="13.8515625" style="1" bestFit="1" customWidth="1"/>
    <col min="10" max="12" width="13.8515625" style="1" customWidth="1"/>
    <col min="13" max="13" width="14.28125" style="1" bestFit="1" customWidth="1"/>
    <col min="14" max="14" width="13.8515625" style="1" bestFit="1" customWidth="1"/>
    <col min="15" max="16384" width="9.140625" style="1" customWidth="1"/>
  </cols>
  <sheetData>
    <row r="1" spans="1:16" ht="15.75">
      <c r="A1" s="74"/>
      <c r="B1" s="74"/>
      <c r="C1" s="74"/>
      <c r="D1" s="75" t="s">
        <v>83</v>
      </c>
      <c r="E1" s="74"/>
      <c r="F1" s="74"/>
      <c r="G1" s="74"/>
      <c r="H1" s="74"/>
      <c r="I1" s="74"/>
      <c r="J1" s="74"/>
      <c r="K1" s="74"/>
      <c r="L1" s="74"/>
      <c r="M1" s="74"/>
      <c r="N1" s="74"/>
      <c r="O1" s="74"/>
      <c r="P1" s="74"/>
    </row>
    <row r="2" spans="1:16" ht="12.75">
      <c r="A2" s="76" t="s">
        <v>82</v>
      </c>
      <c r="B2" s="77"/>
      <c r="C2" s="77"/>
      <c r="D2" s="77"/>
      <c r="E2" s="77"/>
      <c r="F2" s="77"/>
      <c r="G2" s="77"/>
      <c r="H2" s="77"/>
      <c r="I2" s="77"/>
      <c r="J2" s="77"/>
      <c r="K2" s="77"/>
      <c r="L2" s="77"/>
      <c r="M2" s="77"/>
      <c r="N2" s="77"/>
      <c r="O2" s="74"/>
      <c r="P2" s="74"/>
    </row>
    <row r="3" spans="1:16" ht="12.75">
      <c r="A3" s="76" t="s">
        <v>28</v>
      </c>
      <c r="B3" s="78"/>
      <c r="C3" s="78"/>
      <c r="D3" s="78"/>
      <c r="E3" s="78"/>
      <c r="F3" s="78"/>
      <c r="G3" s="78"/>
      <c r="H3" s="78"/>
      <c r="I3" s="78"/>
      <c r="J3" s="78"/>
      <c r="K3" s="78"/>
      <c r="L3" s="78"/>
      <c r="M3" s="78"/>
      <c r="N3" s="78"/>
      <c r="O3" s="74"/>
      <c r="P3" s="74"/>
    </row>
    <row r="4" spans="1:16" ht="11.25">
      <c r="A4" s="78" t="s">
        <v>20</v>
      </c>
      <c r="B4" s="77"/>
      <c r="C4" s="77"/>
      <c r="D4" s="77"/>
      <c r="E4" s="77"/>
      <c r="F4" s="77"/>
      <c r="G4" s="77"/>
      <c r="H4" s="77"/>
      <c r="I4" s="77"/>
      <c r="J4" s="77"/>
      <c r="K4" s="77"/>
      <c r="L4" s="77"/>
      <c r="M4" s="77"/>
      <c r="N4" s="77"/>
      <c r="O4" s="74"/>
      <c r="P4" s="74"/>
    </row>
    <row r="5" spans="1:16" ht="11.25">
      <c r="A5" s="78" t="s">
        <v>21</v>
      </c>
      <c r="B5" s="78"/>
      <c r="C5" s="78"/>
      <c r="D5" s="78"/>
      <c r="E5" s="78"/>
      <c r="F5" s="78"/>
      <c r="G5" s="78"/>
      <c r="H5" s="78"/>
      <c r="I5" s="78"/>
      <c r="J5" s="78"/>
      <c r="K5" s="78"/>
      <c r="L5" s="78"/>
      <c r="M5" s="78"/>
      <c r="N5" s="78"/>
      <c r="O5" s="74"/>
      <c r="P5" s="74"/>
    </row>
    <row r="6" spans="1:14" ht="18" customHeight="1">
      <c r="A6" s="79"/>
      <c r="B6" s="79"/>
      <c r="C6" s="79"/>
      <c r="D6" s="79"/>
      <c r="E6" s="79"/>
      <c r="F6" s="79"/>
      <c r="G6" s="79"/>
      <c r="H6" s="79"/>
      <c r="I6" s="79"/>
      <c r="J6" s="79"/>
      <c r="K6" s="79"/>
      <c r="L6" s="79"/>
      <c r="M6" s="79"/>
      <c r="N6" s="79"/>
    </row>
    <row r="8" ht="12" thickBot="1"/>
    <row r="9" spans="1:14" ht="37.5" customHeight="1" thickBot="1">
      <c r="A9" s="2" t="s">
        <v>0</v>
      </c>
      <c r="B9" s="3" t="s">
        <v>1</v>
      </c>
      <c r="C9" s="3" t="s">
        <v>2</v>
      </c>
      <c r="D9" s="4" t="s">
        <v>3</v>
      </c>
      <c r="E9" s="4" t="s">
        <v>4</v>
      </c>
      <c r="F9" s="3" t="s">
        <v>5</v>
      </c>
      <c r="G9" s="3" t="s">
        <v>6</v>
      </c>
      <c r="H9" s="5" t="s">
        <v>7</v>
      </c>
      <c r="I9" s="6" t="s">
        <v>31</v>
      </c>
      <c r="J9" s="6" t="s">
        <v>37</v>
      </c>
      <c r="K9" s="63" t="s">
        <v>50</v>
      </c>
      <c r="L9" s="7" t="s">
        <v>74</v>
      </c>
      <c r="M9" s="6" t="s">
        <v>51</v>
      </c>
      <c r="N9" s="3" t="s">
        <v>8</v>
      </c>
    </row>
    <row r="10" spans="1:14" ht="11.25">
      <c r="A10" s="8"/>
      <c r="B10" s="9"/>
      <c r="C10" s="9"/>
      <c r="D10" s="10"/>
      <c r="E10" s="10"/>
      <c r="F10" s="9"/>
      <c r="G10" s="9"/>
      <c r="H10" s="11"/>
      <c r="I10" s="9"/>
      <c r="J10" s="9"/>
      <c r="K10" s="9"/>
      <c r="L10" s="9"/>
      <c r="M10" s="9"/>
      <c r="N10" s="9"/>
    </row>
    <row r="11" spans="1:14" ht="11.25">
      <c r="A11" s="8" t="s">
        <v>42</v>
      </c>
      <c r="B11" s="9"/>
      <c r="C11" s="9"/>
      <c r="D11" s="10"/>
      <c r="E11" s="10"/>
      <c r="F11" s="9"/>
      <c r="G11" s="9"/>
      <c r="H11" s="11"/>
      <c r="I11" s="9"/>
      <c r="J11" s="9"/>
      <c r="K11" s="9"/>
      <c r="L11" s="9"/>
      <c r="M11" s="9"/>
      <c r="N11" s="9"/>
    </row>
    <row r="12" spans="1:14" ht="11.25">
      <c r="A12" s="12" t="s">
        <v>32</v>
      </c>
      <c r="B12" s="13">
        <v>58400000</v>
      </c>
      <c r="C12" s="13">
        <v>128300000</v>
      </c>
      <c r="D12" s="13">
        <v>132700000</v>
      </c>
      <c r="E12" s="13">
        <v>41500000</v>
      </c>
      <c r="F12" s="13">
        <v>40000000</v>
      </c>
      <c r="G12" s="13">
        <v>29200000</v>
      </c>
      <c r="H12" s="13">
        <v>112300000</v>
      </c>
      <c r="I12" s="13">
        <v>8000000</v>
      </c>
      <c r="J12" s="13">
        <f>SUM(B12:F12)*0.1</f>
        <v>40090000</v>
      </c>
      <c r="K12" s="13">
        <v>118000000</v>
      </c>
      <c r="L12" s="13">
        <v>160000000</v>
      </c>
      <c r="M12" s="13">
        <v>100000</v>
      </c>
      <c r="N12" s="13">
        <f>+SUM(B12:M12)</f>
        <v>868590000</v>
      </c>
    </row>
    <row r="13" spans="1:14" ht="11.25">
      <c r="A13" s="12" t="s">
        <v>55</v>
      </c>
      <c r="B13" s="13">
        <v>0</v>
      </c>
      <c r="C13" s="13">
        <v>0</v>
      </c>
      <c r="D13" s="13">
        <v>0</v>
      </c>
      <c r="E13" s="13">
        <v>0</v>
      </c>
      <c r="F13" s="13">
        <v>0</v>
      </c>
      <c r="G13" s="13">
        <v>0</v>
      </c>
      <c r="H13" s="13">
        <v>0</v>
      </c>
      <c r="I13" s="13">
        <v>0</v>
      </c>
      <c r="J13" s="13">
        <v>0</v>
      </c>
      <c r="K13" s="13">
        <v>0</v>
      </c>
      <c r="L13" s="13"/>
      <c r="M13" s="13">
        <v>0</v>
      </c>
      <c r="N13" s="13">
        <f>+SUM(B13:M13)</f>
        <v>0</v>
      </c>
    </row>
    <row r="14" spans="1:14" ht="12" customHeight="1">
      <c r="A14" s="12" t="s">
        <v>53</v>
      </c>
      <c r="B14" s="14">
        <v>0</v>
      </c>
      <c r="C14" s="14">
        <v>0</v>
      </c>
      <c r="D14" s="14">
        <v>18400000</v>
      </c>
      <c r="E14" s="14">
        <v>0</v>
      </c>
      <c r="F14" s="14">
        <v>0</v>
      </c>
      <c r="G14" s="14">
        <v>100000</v>
      </c>
      <c r="H14" s="14">
        <v>700000</v>
      </c>
      <c r="I14" s="14">
        <v>26000000</v>
      </c>
      <c r="J14" s="14">
        <f>SUM(B14:F14)*0.1</f>
        <v>1840000</v>
      </c>
      <c r="K14" s="14">
        <v>50000000</v>
      </c>
      <c r="L14" s="14">
        <v>2500000</v>
      </c>
      <c r="M14" s="14">
        <v>0</v>
      </c>
      <c r="N14" s="14">
        <f>+SUM(B14:M14)</f>
        <v>99540000</v>
      </c>
    </row>
    <row r="15" spans="1:14" ht="11.25">
      <c r="A15" s="15" t="s">
        <v>63</v>
      </c>
      <c r="B15" s="16">
        <f>B12-B13+B14</f>
        <v>58400000</v>
      </c>
      <c r="C15" s="16">
        <f aca="true" t="shared" si="0" ref="C15:N15">C12-C13+C14</f>
        <v>128300000</v>
      </c>
      <c r="D15" s="16">
        <f t="shared" si="0"/>
        <v>151100000</v>
      </c>
      <c r="E15" s="16">
        <f t="shared" si="0"/>
        <v>41500000</v>
      </c>
      <c r="F15" s="16">
        <f t="shared" si="0"/>
        <v>40000000</v>
      </c>
      <c r="G15" s="16">
        <f t="shared" si="0"/>
        <v>29300000</v>
      </c>
      <c r="H15" s="16">
        <f t="shared" si="0"/>
        <v>113000000</v>
      </c>
      <c r="I15" s="16">
        <f t="shared" si="0"/>
        <v>34000000</v>
      </c>
      <c r="J15" s="16">
        <f t="shared" si="0"/>
        <v>41930000</v>
      </c>
      <c r="K15" s="16">
        <f t="shared" si="0"/>
        <v>168000000</v>
      </c>
      <c r="L15" s="16">
        <f t="shared" si="0"/>
        <v>162500000</v>
      </c>
      <c r="M15" s="16">
        <f t="shared" si="0"/>
        <v>100000</v>
      </c>
      <c r="N15" s="16">
        <f t="shared" si="0"/>
        <v>968130000</v>
      </c>
    </row>
    <row r="16" spans="1:14" ht="11.25">
      <c r="A16" s="17" t="s">
        <v>44</v>
      </c>
      <c r="B16" s="13">
        <v>4400000</v>
      </c>
      <c r="C16" s="13">
        <v>9500000</v>
      </c>
      <c r="D16" s="13">
        <v>11342560</v>
      </c>
      <c r="E16" s="13">
        <v>3100000</v>
      </c>
      <c r="F16" s="13">
        <v>3100000</v>
      </c>
      <c r="G16" s="13">
        <v>2107840</v>
      </c>
      <c r="H16" s="13">
        <v>8254880</v>
      </c>
      <c r="I16" s="13">
        <v>2638400</v>
      </c>
      <c r="J16" s="13">
        <f>SUM(B16:F16)*0.1</f>
        <v>3144256</v>
      </c>
      <c r="K16" s="13">
        <v>4520000</v>
      </c>
      <c r="L16" s="13">
        <v>11200000</v>
      </c>
      <c r="M16" s="13">
        <v>7260</v>
      </c>
      <c r="N16" s="13">
        <f>+SUM(B16:M16)</f>
        <v>63315196</v>
      </c>
    </row>
    <row r="17" spans="1:14" ht="11.25">
      <c r="A17" s="17" t="s">
        <v>56</v>
      </c>
      <c r="B17" s="13">
        <v>700800</v>
      </c>
      <c r="C17" s="13">
        <v>1539600</v>
      </c>
      <c r="D17" s="13">
        <v>1592400</v>
      </c>
      <c r="E17" s="13">
        <v>498000</v>
      </c>
      <c r="F17" s="13">
        <v>480000</v>
      </c>
      <c r="G17" s="13">
        <v>350400</v>
      </c>
      <c r="H17" s="13">
        <v>1347600</v>
      </c>
      <c r="I17" s="13">
        <v>96000</v>
      </c>
      <c r="J17" s="13">
        <v>481080</v>
      </c>
      <c r="K17" s="13">
        <v>1416000</v>
      </c>
      <c r="L17" s="13">
        <v>2345000</v>
      </c>
      <c r="M17" s="13">
        <v>1200</v>
      </c>
      <c r="N17" s="13">
        <f>+SUM(B17:M17)</f>
        <v>10848080</v>
      </c>
    </row>
    <row r="18" spans="1:14" ht="11.25">
      <c r="A18" s="17" t="s">
        <v>79</v>
      </c>
      <c r="B18" s="13">
        <v>467200</v>
      </c>
      <c r="C18" s="13">
        <v>1026400</v>
      </c>
      <c r="D18" s="13">
        <v>1061600</v>
      </c>
      <c r="E18" s="13">
        <v>332000</v>
      </c>
      <c r="F18" s="13">
        <v>320000</v>
      </c>
      <c r="G18" s="13">
        <v>233600</v>
      </c>
      <c r="H18" s="13">
        <v>898400</v>
      </c>
      <c r="I18" s="13">
        <v>64000</v>
      </c>
      <c r="J18" s="13">
        <v>320720</v>
      </c>
      <c r="K18" s="13">
        <v>944000</v>
      </c>
      <c r="L18" s="13">
        <v>1280000</v>
      </c>
      <c r="M18" s="13">
        <v>0</v>
      </c>
      <c r="N18" s="13">
        <f>+SUM(B18:M18)</f>
        <v>6947920</v>
      </c>
    </row>
    <row r="19" spans="1:15" ht="11.25">
      <c r="A19" s="12" t="s">
        <v>45</v>
      </c>
      <c r="B19" s="14">
        <f>B15*0.02</f>
        <v>1168000</v>
      </c>
      <c r="C19" s="14">
        <f aca="true" t="shared" si="1" ref="C19:M19">C15*0.02</f>
        <v>2566000</v>
      </c>
      <c r="D19" s="14">
        <f t="shared" si="1"/>
        <v>3022000</v>
      </c>
      <c r="E19" s="14">
        <f t="shared" si="1"/>
        <v>830000</v>
      </c>
      <c r="F19" s="14">
        <f t="shared" si="1"/>
        <v>800000</v>
      </c>
      <c r="G19" s="14">
        <f t="shared" si="1"/>
        <v>586000</v>
      </c>
      <c r="H19" s="14">
        <f t="shared" si="1"/>
        <v>2260000</v>
      </c>
      <c r="I19" s="14">
        <f t="shared" si="1"/>
        <v>680000</v>
      </c>
      <c r="J19" s="14">
        <f>J15*0.02</f>
        <v>838600</v>
      </c>
      <c r="K19" s="14">
        <f>K15*0.02</f>
        <v>3360000</v>
      </c>
      <c r="L19" s="14">
        <f>L15*0.02</f>
        <v>3250000</v>
      </c>
      <c r="M19" s="14">
        <f t="shared" si="1"/>
        <v>2000</v>
      </c>
      <c r="N19" s="14">
        <f>SUM(B19:M19)</f>
        <v>19362600</v>
      </c>
      <c r="O19" s="64"/>
    </row>
    <row r="20" spans="1:14" ht="11.25">
      <c r="A20" s="18" t="s">
        <v>43</v>
      </c>
      <c r="B20" s="16">
        <f>B15-SUM(B16:B19)</f>
        <v>51664000</v>
      </c>
      <c r="C20" s="16">
        <f aca="true" t="shared" si="2" ref="C20:N20">C15-SUM(C16:C19)</f>
        <v>113668000</v>
      </c>
      <c r="D20" s="16">
        <f t="shared" si="2"/>
        <v>134081440</v>
      </c>
      <c r="E20" s="16">
        <f t="shared" si="2"/>
        <v>36740000</v>
      </c>
      <c r="F20" s="16">
        <f t="shared" si="2"/>
        <v>35300000</v>
      </c>
      <c r="G20" s="16">
        <f t="shared" si="2"/>
        <v>26022160</v>
      </c>
      <c r="H20" s="16">
        <f t="shared" si="2"/>
        <v>100239120</v>
      </c>
      <c r="I20" s="16">
        <f t="shared" si="2"/>
        <v>30521600</v>
      </c>
      <c r="J20" s="16">
        <f t="shared" si="2"/>
        <v>37145344</v>
      </c>
      <c r="K20" s="16">
        <f t="shared" si="2"/>
        <v>157760000</v>
      </c>
      <c r="L20" s="16">
        <f>L15-SUM(L16:L19)</f>
        <v>144425000</v>
      </c>
      <c r="M20" s="16">
        <f t="shared" si="2"/>
        <v>89540</v>
      </c>
      <c r="N20" s="16">
        <f t="shared" si="2"/>
        <v>867656204</v>
      </c>
    </row>
    <row r="21" spans="1:14" ht="11.25">
      <c r="A21" s="18"/>
      <c r="B21" s="13"/>
      <c r="C21" s="13"/>
      <c r="D21" s="13"/>
      <c r="E21" s="13"/>
      <c r="F21" s="13"/>
      <c r="G21" s="13"/>
      <c r="H21" s="13"/>
      <c r="I21" s="13"/>
      <c r="J21" s="13"/>
      <c r="K21" s="13"/>
      <c r="L21" s="13"/>
      <c r="M21" s="13"/>
      <c r="N21" s="13"/>
    </row>
    <row r="22" spans="1:14" ht="11.25">
      <c r="A22" s="18" t="s">
        <v>46</v>
      </c>
      <c r="B22" s="13"/>
      <c r="C22" s="13"/>
      <c r="D22" s="13"/>
      <c r="E22" s="13"/>
      <c r="F22" s="13"/>
      <c r="G22" s="13"/>
      <c r="H22" s="13"/>
      <c r="I22" s="13"/>
      <c r="J22" s="13"/>
      <c r="K22" s="13"/>
      <c r="L22" s="13"/>
      <c r="M22" s="13"/>
      <c r="N22" s="13"/>
    </row>
    <row r="23" spans="1:14" ht="11.25">
      <c r="A23" s="12" t="s">
        <v>75</v>
      </c>
      <c r="B23" s="13">
        <f>67870000</f>
        <v>67870000</v>
      </c>
      <c r="C23" s="13">
        <v>126940000.00000001</v>
      </c>
      <c r="D23" s="13">
        <v>146520000</v>
      </c>
      <c r="E23" s="13">
        <v>46090000</v>
      </c>
      <c r="F23" s="13">
        <v>38940000</v>
      </c>
      <c r="G23" s="13">
        <v>30030000.000000004</v>
      </c>
      <c r="H23" s="13">
        <v>131120000.00000001</v>
      </c>
      <c r="I23" s="13">
        <v>33550000.000000004</v>
      </c>
      <c r="J23" s="13">
        <f>SUM(B23:F23)*0.1</f>
        <v>42636000</v>
      </c>
      <c r="K23" s="13">
        <f>168975000</f>
        <v>168975000</v>
      </c>
      <c r="L23" s="13">
        <v>125500000</v>
      </c>
      <c r="M23" s="13">
        <v>125000</v>
      </c>
      <c r="N23" s="13">
        <f>+SUM(B23:M23)</f>
        <v>958296000</v>
      </c>
    </row>
    <row r="24" spans="1:14" ht="11.25">
      <c r="A24" s="12" t="s">
        <v>64</v>
      </c>
      <c r="B24" s="13">
        <v>1000000</v>
      </c>
      <c r="C24" s="13">
        <v>500000</v>
      </c>
      <c r="D24" s="13">
        <v>500000</v>
      </c>
      <c r="E24" s="13">
        <v>700000</v>
      </c>
      <c r="F24" s="13">
        <v>100000</v>
      </c>
      <c r="G24" s="13">
        <v>600000</v>
      </c>
      <c r="H24" s="13">
        <v>900000</v>
      </c>
      <c r="I24" s="13">
        <v>400000</v>
      </c>
      <c r="J24" s="13">
        <f>SUM(B24:F24)*0.1</f>
        <v>280000</v>
      </c>
      <c r="K24" s="13">
        <v>1500000</v>
      </c>
      <c r="L24" s="13">
        <v>2000175</v>
      </c>
      <c r="M24" s="13">
        <v>0</v>
      </c>
      <c r="N24" s="13">
        <f>+SUM(B24:M24)</f>
        <v>8480175</v>
      </c>
    </row>
    <row r="25" spans="1:15" ht="11.25">
      <c r="A25" s="12" t="s">
        <v>47</v>
      </c>
      <c r="B25" s="25">
        <v>0</v>
      </c>
      <c r="C25" s="25">
        <v>0</v>
      </c>
      <c r="D25" s="25">
        <v>0</v>
      </c>
      <c r="E25" s="25">
        <v>1500</v>
      </c>
      <c r="F25" s="25">
        <v>25000</v>
      </c>
      <c r="G25" s="25">
        <v>0</v>
      </c>
      <c r="H25" s="25">
        <v>0</v>
      </c>
      <c r="I25" s="25">
        <v>0</v>
      </c>
      <c r="J25" s="25">
        <f>SUM(B25:F25)*0.1</f>
        <v>2650</v>
      </c>
      <c r="K25" s="25">
        <v>25000</v>
      </c>
      <c r="L25" s="25">
        <v>105000</v>
      </c>
      <c r="M25" s="25">
        <v>25000</v>
      </c>
      <c r="N25" s="25">
        <f>+SUM(B25:M25)</f>
        <v>184150</v>
      </c>
      <c r="O25" s="13"/>
    </row>
    <row r="26" spans="1:15" ht="11.25">
      <c r="A26" s="12" t="s">
        <v>80</v>
      </c>
      <c r="B26" s="14">
        <v>373760</v>
      </c>
      <c r="C26" s="14">
        <v>821120</v>
      </c>
      <c r="D26" s="14">
        <v>849280</v>
      </c>
      <c r="E26" s="14">
        <v>265600</v>
      </c>
      <c r="F26" s="14">
        <v>256000</v>
      </c>
      <c r="G26" s="14">
        <v>186880</v>
      </c>
      <c r="H26" s="14">
        <v>718720</v>
      </c>
      <c r="I26" s="14">
        <v>51200</v>
      </c>
      <c r="J26" s="14">
        <v>256576</v>
      </c>
      <c r="K26" s="14">
        <v>755200</v>
      </c>
      <c r="L26" s="14">
        <v>1024000</v>
      </c>
      <c r="M26" s="14">
        <v>0</v>
      </c>
      <c r="N26" s="25">
        <f>+SUM(B26:M26)</f>
        <v>5558336</v>
      </c>
      <c r="O26" s="13"/>
    </row>
    <row r="27" spans="1:15" ht="11.25">
      <c r="A27" s="18" t="s">
        <v>48</v>
      </c>
      <c r="B27" s="16">
        <f>+B23+B24-B25-B26</f>
        <v>68496240</v>
      </c>
      <c r="C27" s="16">
        <f aca="true" t="shared" si="3" ref="C27:N27">+C23+C24-C25-C26</f>
        <v>126618880.00000001</v>
      </c>
      <c r="D27" s="16">
        <f t="shared" si="3"/>
        <v>146170720</v>
      </c>
      <c r="E27" s="16">
        <f t="shared" si="3"/>
        <v>46522900</v>
      </c>
      <c r="F27" s="16">
        <f t="shared" si="3"/>
        <v>38759000</v>
      </c>
      <c r="G27" s="16">
        <f t="shared" si="3"/>
        <v>30443120.000000004</v>
      </c>
      <c r="H27" s="16">
        <f t="shared" si="3"/>
        <v>131301280.00000001</v>
      </c>
      <c r="I27" s="16">
        <f t="shared" si="3"/>
        <v>33898800</v>
      </c>
      <c r="J27" s="16">
        <f t="shared" si="3"/>
        <v>42656774</v>
      </c>
      <c r="K27" s="16">
        <f t="shared" si="3"/>
        <v>169694800</v>
      </c>
      <c r="L27" s="16">
        <f t="shared" si="3"/>
        <v>126371175</v>
      </c>
      <c r="M27" s="16">
        <f t="shared" si="3"/>
        <v>100000</v>
      </c>
      <c r="N27" s="16">
        <f t="shared" si="3"/>
        <v>961033689</v>
      </c>
      <c r="O27" s="13"/>
    </row>
    <row r="28" spans="1:15" ht="11.25">
      <c r="A28" s="19"/>
      <c r="B28" s="13"/>
      <c r="C28" s="13"/>
      <c r="D28" s="13"/>
      <c r="E28" s="13"/>
      <c r="F28" s="13"/>
      <c r="G28" s="13"/>
      <c r="H28" s="13"/>
      <c r="I28" s="13"/>
      <c r="J28" s="13"/>
      <c r="K28" s="13"/>
      <c r="L28" s="13"/>
      <c r="M28" s="13"/>
      <c r="N28" s="13"/>
      <c r="O28" s="13"/>
    </row>
    <row r="29" spans="1:14" ht="11.25">
      <c r="A29" s="19" t="s">
        <v>49</v>
      </c>
      <c r="B29" s="13">
        <v>9200000</v>
      </c>
      <c r="C29" s="13">
        <v>4600000</v>
      </c>
      <c r="D29" s="13">
        <v>3300000</v>
      </c>
      <c r="E29" s="13">
        <v>4900000</v>
      </c>
      <c r="F29" s="13">
        <v>1300000</v>
      </c>
      <c r="G29" s="13">
        <v>300000</v>
      </c>
      <c r="H29" s="13">
        <v>21900000</v>
      </c>
      <c r="I29" s="13">
        <v>0</v>
      </c>
      <c r="J29" s="13">
        <f>SUM(B29:F29)*0.1</f>
        <v>2330000</v>
      </c>
      <c r="K29" s="13">
        <v>5000000</v>
      </c>
      <c r="L29" s="13">
        <v>3500000</v>
      </c>
      <c r="M29" s="13">
        <v>0</v>
      </c>
      <c r="N29" s="13">
        <f>+SUM(B29:M29)</f>
        <v>56330000</v>
      </c>
    </row>
    <row r="30" spans="1:14" ht="12" thickBot="1">
      <c r="A30" s="19"/>
      <c r="B30" s="13"/>
      <c r="C30" s="13"/>
      <c r="D30" s="13"/>
      <c r="E30" s="13"/>
      <c r="F30" s="13"/>
      <c r="G30" s="13"/>
      <c r="H30" s="13"/>
      <c r="I30" s="13"/>
      <c r="J30" s="13"/>
      <c r="K30" s="13"/>
      <c r="L30" s="13"/>
      <c r="M30" s="13"/>
      <c r="N30" s="13"/>
    </row>
    <row r="31" spans="1:14" ht="12" thickBot="1">
      <c r="A31" s="20" t="s">
        <v>58</v>
      </c>
      <c r="B31" s="21">
        <f>+B20-B27+B29</f>
        <v>-7632240</v>
      </c>
      <c r="C31" s="21">
        <f aca="true" t="shared" si="4" ref="C31:N31">+C20-C27+C29</f>
        <v>-8350880.000000015</v>
      </c>
      <c r="D31" s="21">
        <f t="shared" si="4"/>
        <v>-8789280</v>
      </c>
      <c r="E31" s="21">
        <f t="shared" si="4"/>
        <v>-4882900</v>
      </c>
      <c r="F31" s="21">
        <f t="shared" si="4"/>
        <v>-2159000</v>
      </c>
      <c r="G31" s="21">
        <f t="shared" si="4"/>
        <v>-4120960.0000000037</v>
      </c>
      <c r="H31" s="21">
        <f t="shared" si="4"/>
        <v>-9162160.000000015</v>
      </c>
      <c r="I31" s="21">
        <f t="shared" si="4"/>
        <v>-3377200</v>
      </c>
      <c r="J31" s="21">
        <f t="shared" si="4"/>
        <v>-3181430</v>
      </c>
      <c r="K31" s="21">
        <f t="shared" si="4"/>
        <v>-6934800</v>
      </c>
      <c r="L31" s="21">
        <f t="shared" si="4"/>
        <v>21553825</v>
      </c>
      <c r="M31" s="21">
        <f t="shared" si="4"/>
        <v>-10460</v>
      </c>
      <c r="N31" s="21">
        <f t="shared" si="4"/>
        <v>-37047485</v>
      </c>
    </row>
    <row r="32" spans="1:14" ht="11.25">
      <c r="A32" s="18" t="s">
        <v>27</v>
      </c>
      <c r="B32" s="22">
        <f aca="true" t="shared" si="5" ref="B32:N32">B31/B20</f>
        <v>-0.14772839888510375</v>
      </c>
      <c r="C32" s="22">
        <f t="shared" si="5"/>
        <v>-0.07346729070626751</v>
      </c>
      <c r="D32" s="22">
        <f t="shared" si="5"/>
        <v>-0.06555180194962107</v>
      </c>
      <c r="E32" s="22">
        <f t="shared" si="5"/>
        <v>-0.13290419161676648</v>
      </c>
      <c r="F32" s="22">
        <f t="shared" si="5"/>
        <v>-0.0611614730878187</v>
      </c>
      <c r="G32" s="22">
        <f t="shared" si="5"/>
        <v>-0.15836348712020845</v>
      </c>
      <c r="H32" s="22">
        <f t="shared" si="5"/>
        <v>-0.09140303705778757</v>
      </c>
      <c r="I32" s="22">
        <f t="shared" si="5"/>
        <v>-0.11064950723422101</v>
      </c>
      <c r="J32" s="22">
        <f>J31/J20</f>
        <v>-0.08564815014231662</v>
      </c>
      <c r="K32" s="22">
        <f>K31/K20</f>
        <v>-0.0439579107505071</v>
      </c>
      <c r="L32" s="22">
        <f>L31/L20</f>
        <v>0.1492388783105418</v>
      </c>
      <c r="M32" s="22">
        <f t="shared" si="5"/>
        <v>-0.11681929863748046</v>
      </c>
      <c r="N32" s="22">
        <f t="shared" si="5"/>
        <v>-0.04269834622193285</v>
      </c>
    </row>
    <row r="33" spans="1:14" ht="11.25">
      <c r="A33" s="1" t="s">
        <v>41</v>
      </c>
      <c r="B33" s="23">
        <v>150000</v>
      </c>
      <c r="C33" s="23">
        <v>1410000</v>
      </c>
      <c r="D33" s="23">
        <v>670000</v>
      </c>
      <c r="E33" s="23">
        <v>320000</v>
      </c>
      <c r="F33" s="23">
        <v>120000</v>
      </c>
      <c r="G33" s="23">
        <v>250000</v>
      </c>
      <c r="H33" s="23">
        <v>210000</v>
      </c>
      <c r="I33" s="23">
        <v>50000</v>
      </c>
      <c r="J33" s="23">
        <v>50000</v>
      </c>
      <c r="K33" s="23">
        <v>800000</v>
      </c>
      <c r="L33" s="23">
        <v>500000</v>
      </c>
      <c r="M33" s="23">
        <v>10000</v>
      </c>
      <c r="N33" s="23">
        <v>4040000</v>
      </c>
    </row>
    <row r="34" spans="2:14" ht="11.25">
      <c r="B34" s="23"/>
      <c r="C34" s="23"/>
      <c r="D34" s="23"/>
      <c r="E34" s="23"/>
      <c r="F34" s="23"/>
      <c r="G34" s="23"/>
      <c r="H34" s="23"/>
      <c r="I34" s="23"/>
      <c r="J34" s="23"/>
      <c r="K34" s="23"/>
      <c r="L34" s="23"/>
      <c r="M34" s="23"/>
      <c r="N34" s="23"/>
    </row>
    <row r="35" spans="1:14" ht="11.25">
      <c r="A35" s="19" t="s">
        <v>61</v>
      </c>
      <c r="B35" s="23"/>
      <c r="C35" s="23"/>
      <c r="D35" s="23"/>
      <c r="E35" s="23"/>
      <c r="F35" s="23"/>
      <c r="G35" s="23"/>
      <c r="H35" s="23"/>
      <c r="I35" s="23"/>
      <c r="J35" s="23"/>
      <c r="K35" s="23"/>
      <c r="L35" s="23"/>
      <c r="M35" s="23"/>
      <c r="N35" s="65">
        <v>500000</v>
      </c>
    </row>
    <row r="36" spans="1:14" ht="15.75" thickBot="1">
      <c r="A36" s="19" t="s">
        <v>62</v>
      </c>
      <c r="B36" s="73">
        <v>12.760045802719738</v>
      </c>
      <c r="C36" s="73">
        <v>0.6455248741160886</v>
      </c>
      <c r="D36" s="73">
        <v>2.5336458797734966</v>
      </c>
      <c r="E36" s="73">
        <v>1.7985922625604747</v>
      </c>
      <c r="F36" s="73">
        <v>2.677538826274644</v>
      </c>
      <c r="G36" s="73">
        <v>0</v>
      </c>
      <c r="H36" s="73">
        <v>5.724867734560094</v>
      </c>
      <c r="I36" s="73">
        <v>0</v>
      </c>
      <c r="J36" s="73">
        <v>2.851785086499108</v>
      </c>
      <c r="K36" s="73">
        <v>2.454923329992028</v>
      </c>
      <c r="L36" s="22"/>
      <c r="M36" s="22"/>
      <c r="N36" s="66">
        <f>N31+N35</f>
        <v>-36547485</v>
      </c>
    </row>
    <row r="37" spans="1:14" ht="12.75" thickBot="1" thickTop="1">
      <c r="A37" s="19"/>
      <c r="N37" s="25"/>
    </row>
    <row r="38" spans="1:14" ht="12" thickBot="1">
      <c r="A38" s="26" t="s">
        <v>10</v>
      </c>
      <c r="N38" s="13"/>
    </row>
    <row r="39" spans="1:7" ht="11.25">
      <c r="A39" s="19"/>
      <c r="B39" s="27"/>
      <c r="C39" s="27"/>
      <c r="D39" s="28"/>
      <c r="F39" s="29"/>
      <c r="G39" s="29"/>
    </row>
    <row r="40" spans="1:16" ht="22.5">
      <c r="A40" s="67" t="s">
        <v>77</v>
      </c>
      <c r="B40" s="13">
        <f>N20</f>
        <v>867656204</v>
      </c>
      <c r="C40" s="31"/>
      <c r="D40" s="31"/>
      <c r="E40" s="32"/>
      <c r="F40" s="32"/>
      <c r="G40" s="32"/>
      <c r="H40" s="32"/>
      <c r="I40" s="32"/>
      <c r="J40" s="32"/>
      <c r="K40" s="32"/>
      <c r="L40" s="32"/>
      <c r="M40" s="32"/>
      <c r="N40" s="32"/>
      <c r="O40" s="32"/>
      <c r="P40" s="32"/>
    </row>
    <row r="41" spans="1:16" ht="12.75">
      <c r="A41" s="1" t="s">
        <v>33</v>
      </c>
      <c r="B41" s="13">
        <f>N36</f>
        <v>-36547485</v>
      </c>
      <c r="C41" s="31"/>
      <c r="D41" s="31"/>
      <c r="E41" s="32"/>
      <c r="F41" s="32"/>
      <c r="G41" s="32"/>
      <c r="H41" s="32"/>
      <c r="I41" s="32"/>
      <c r="J41" s="32"/>
      <c r="K41" s="32"/>
      <c r="L41" s="32"/>
      <c r="M41" s="32"/>
      <c r="N41" s="32"/>
      <c r="O41" s="32"/>
      <c r="P41" s="32"/>
    </row>
    <row r="42" spans="1:16" ht="12.75">
      <c r="A42" s="1" t="s">
        <v>27</v>
      </c>
      <c r="B42" s="22">
        <f>B41/B40</f>
        <v>-0.04212208110944367</v>
      </c>
      <c r="C42" s="31"/>
      <c r="D42" s="31"/>
      <c r="E42" s="31"/>
      <c r="F42" s="32"/>
      <c r="G42" s="32"/>
      <c r="H42" s="32"/>
      <c r="I42" s="32"/>
      <c r="J42" s="32"/>
      <c r="K42" s="32"/>
      <c r="L42" s="32"/>
      <c r="M42" s="32"/>
      <c r="N42" s="32"/>
      <c r="O42" s="32"/>
      <c r="P42" s="32"/>
    </row>
    <row r="43" spans="2:16" ht="12.75">
      <c r="B43" s="13"/>
      <c r="C43" s="31"/>
      <c r="D43" s="31"/>
      <c r="E43" s="32"/>
      <c r="F43" s="32"/>
      <c r="G43" s="32"/>
      <c r="H43" s="32"/>
      <c r="I43" s="32"/>
      <c r="J43" s="32"/>
      <c r="K43" s="32"/>
      <c r="L43" s="32"/>
      <c r="M43" s="32"/>
      <c r="N43" s="32"/>
      <c r="O43" s="32"/>
      <c r="P43" s="32"/>
    </row>
    <row r="44" spans="2:16" ht="12.75">
      <c r="B44" s="33"/>
      <c r="C44" s="31"/>
      <c r="D44" s="31"/>
      <c r="E44" s="32"/>
      <c r="F44" s="32"/>
      <c r="G44" s="32"/>
      <c r="H44" s="32"/>
      <c r="I44" s="32"/>
      <c r="J44" s="32"/>
      <c r="K44" s="32"/>
      <c r="L44" s="32"/>
      <c r="M44" s="32"/>
      <c r="N44" s="32"/>
      <c r="O44" s="32"/>
      <c r="P44" s="32"/>
    </row>
    <row r="45" spans="3:16" ht="12.75">
      <c r="C45" s="32"/>
      <c r="D45" s="31"/>
      <c r="E45" s="32"/>
      <c r="F45" s="32"/>
      <c r="G45" s="32"/>
      <c r="H45" s="32"/>
      <c r="I45" s="32"/>
      <c r="J45" s="32"/>
      <c r="K45" s="32"/>
      <c r="L45" s="32"/>
      <c r="M45" s="32"/>
      <c r="N45" s="32"/>
      <c r="O45" s="32"/>
      <c r="P45" s="32"/>
    </row>
    <row r="46" spans="1:16" ht="12.75">
      <c r="A46" s="19" t="s">
        <v>35</v>
      </c>
      <c r="B46" s="34">
        <f>IF(B41&gt;0,-SUM(E53:E57),-SUM(E62:E64))</f>
        <v>10517798.880000003</v>
      </c>
      <c r="C46" s="32"/>
      <c r="D46" s="31"/>
      <c r="E46" s="32"/>
      <c r="F46" s="32"/>
      <c r="G46" s="32"/>
      <c r="H46" s="32"/>
      <c r="I46" s="32"/>
      <c r="J46" s="32"/>
      <c r="K46" s="32"/>
      <c r="L46" s="32"/>
      <c r="M46" s="32"/>
      <c r="N46" s="32"/>
      <c r="O46" s="32"/>
      <c r="P46" s="32"/>
    </row>
    <row r="47" spans="1:16" ht="12.75">
      <c r="A47" s="68"/>
      <c r="B47" s="34"/>
      <c r="C47" s="32"/>
      <c r="D47" s="31"/>
      <c r="E47" s="32"/>
      <c r="F47" s="32"/>
      <c r="G47" s="32"/>
      <c r="H47" s="32"/>
      <c r="I47" s="32"/>
      <c r="J47" s="32"/>
      <c r="K47" s="32"/>
      <c r="L47" s="32"/>
      <c r="M47" s="32"/>
      <c r="N47" s="32"/>
      <c r="O47" s="32"/>
      <c r="P47" s="32"/>
    </row>
    <row r="48" spans="1:16" ht="12.75">
      <c r="A48" s="19" t="s">
        <v>9</v>
      </c>
      <c r="B48" s="25">
        <f>(B46)/0.98-(B46)</f>
        <v>214648.95673469454</v>
      </c>
      <c r="C48" s="32"/>
      <c r="D48" s="32"/>
      <c r="E48" s="32"/>
      <c r="F48" s="32"/>
      <c r="G48" s="32"/>
      <c r="H48" s="32"/>
      <c r="I48" s="32"/>
      <c r="J48" s="32"/>
      <c r="K48" s="32"/>
      <c r="L48" s="32"/>
      <c r="M48" s="32"/>
      <c r="N48" s="32"/>
      <c r="O48" s="32"/>
      <c r="P48" s="32"/>
    </row>
    <row r="49" spans="1:16" ht="13.5" thickBot="1">
      <c r="A49" s="19" t="s">
        <v>34</v>
      </c>
      <c r="B49" s="36">
        <f>SUM(B46:B48)</f>
        <v>10732447.836734697</v>
      </c>
      <c r="C49" s="32"/>
      <c r="D49" s="32"/>
      <c r="E49" s="32"/>
      <c r="F49" s="32"/>
      <c r="G49" s="32"/>
      <c r="H49" s="32"/>
      <c r="I49" s="32"/>
      <c r="J49" s="32"/>
      <c r="K49" s="32"/>
      <c r="L49" s="32"/>
      <c r="M49" s="32"/>
      <c r="N49" s="32"/>
      <c r="O49" s="32"/>
      <c r="P49" s="32"/>
    </row>
    <row r="50" spans="3:16" ht="13.5" thickTop="1">
      <c r="C50" s="37"/>
      <c r="D50" s="37"/>
      <c r="E50" s="37"/>
      <c r="F50" s="37"/>
      <c r="G50" s="37"/>
      <c r="H50" s="32"/>
      <c r="I50" s="32"/>
      <c r="J50" s="32"/>
      <c r="K50" s="32"/>
      <c r="L50" s="32"/>
      <c r="M50" s="32"/>
      <c r="N50" s="32"/>
      <c r="O50" s="32"/>
      <c r="P50" s="32"/>
    </row>
    <row r="51" spans="2:13" ht="12">
      <c r="B51" s="13"/>
      <c r="C51" s="37"/>
      <c r="D51" s="37" t="s">
        <v>24</v>
      </c>
      <c r="E51" s="37"/>
      <c r="F51" s="37"/>
      <c r="G51" s="37"/>
      <c r="M51" s="38"/>
    </row>
    <row r="52" spans="1:14" ht="12">
      <c r="A52" s="1" t="s">
        <v>22</v>
      </c>
      <c r="B52" s="1" t="s">
        <v>11</v>
      </c>
      <c r="C52" s="37" t="s">
        <v>12</v>
      </c>
      <c r="D52" s="37" t="s">
        <v>25</v>
      </c>
      <c r="E52" s="37" t="s">
        <v>13</v>
      </c>
      <c r="F52" s="37"/>
      <c r="G52" s="37" t="s">
        <v>26</v>
      </c>
      <c r="N52" s="39"/>
    </row>
    <row r="53" spans="2:14" ht="12">
      <c r="B53" s="40" t="s">
        <v>23</v>
      </c>
      <c r="C53" s="41">
        <v>0</v>
      </c>
      <c r="D53" s="42">
        <f>IF(G53&lt;=0,0,IF($B$41*0.03&gt;G53,G53,$B$41*0.03))</f>
        <v>0</v>
      </c>
      <c r="E53" s="42">
        <f>+C53*D53</f>
        <v>0</v>
      </c>
      <c r="G53" s="43">
        <f>+IF(B41&lt;0,0,B41)</f>
        <v>0</v>
      </c>
      <c r="H53" s="43"/>
      <c r="N53" s="42"/>
    </row>
    <row r="54" spans="2:14" ht="12">
      <c r="B54" s="40" t="s">
        <v>18</v>
      </c>
      <c r="C54" s="41">
        <v>0.5</v>
      </c>
      <c r="D54" s="42">
        <f>IF(G54&lt;=0,0,IF($B$41*0.03&gt;G54,G54,$B$41*0.03))</f>
        <v>0</v>
      </c>
      <c r="E54" s="42">
        <f>+C54*D54</f>
        <v>0</v>
      </c>
      <c r="G54" s="43">
        <f>+G53-D53</f>
        <v>0</v>
      </c>
      <c r="H54" s="43"/>
      <c r="N54" s="42"/>
    </row>
    <row r="55" spans="2:14" ht="12">
      <c r="B55" s="44" t="s">
        <v>29</v>
      </c>
      <c r="C55" s="41">
        <v>1</v>
      </c>
      <c r="D55" s="42">
        <f>IF(G55&lt;=0,0,IF($B$41*0.94&gt;G55,G55,$B$41*0.94))</f>
        <v>0</v>
      </c>
      <c r="E55" s="42">
        <f>+C55*D55</f>
        <v>0</v>
      </c>
      <c r="G55" s="43">
        <f>+G54-D54</f>
        <v>0</v>
      </c>
      <c r="H55" s="33"/>
      <c r="N55" s="42"/>
    </row>
    <row r="56" spans="2:14" ht="12">
      <c r="B56" s="44"/>
      <c r="C56" s="41"/>
      <c r="D56" s="42"/>
      <c r="E56" s="42"/>
      <c r="G56" s="43"/>
      <c r="H56" s="43"/>
      <c r="N56" s="42"/>
    </row>
    <row r="57" spans="2:14" ht="12">
      <c r="B57" s="40"/>
      <c r="C57" s="41"/>
      <c r="D57" s="42"/>
      <c r="E57" s="42"/>
      <c r="G57" s="43"/>
      <c r="H57" s="43"/>
      <c r="N57" s="42"/>
    </row>
    <row r="58" spans="2:5" ht="11.25" customHeight="1">
      <c r="B58" s="40"/>
      <c r="C58" s="40"/>
      <c r="E58" s="43"/>
    </row>
    <row r="60" spans="2:14" ht="12">
      <c r="B60" s="13"/>
      <c r="C60" s="37"/>
      <c r="D60" s="37" t="s">
        <v>14</v>
      </c>
      <c r="E60" s="37"/>
      <c r="F60" s="37"/>
      <c r="G60" s="37"/>
      <c r="N60" s="45"/>
    </row>
    <row r="61" spans="1:14" ht="12">
      <c r="A61" s="1" t="s">
        <v>22</v>
      </c>
      <c r="B61" s="1" t="s">
        <v>15</v>
      </c>
      <c r="C61" s="37" t="s">
        <v>12</v>
      </c>
      <c r="D61" s="37" t="s">
        <v>16</v>
      </c>
      <c r="E61" s="37" t="s">
        <v>17</v>
      </c>
      <c r="F61" s="37"/>
      <c r="G61" s="37" t="s">
        <v>26</v>
      </c>
      <c r="N61" s="45"/>
    </row>
    <row r="62" spans="2:14" ht="12">
      <c r="B62" s="40" t="s">
        <v>23</v>
      </c>
      <c r="C62" s="41">
        <v>0</v>
      </c>
      <c r="D62" s="42">
        <f>IF(G62&gt;0,0,IF(-$B$40*0.03&lt;G62,G62,-$B$40*0.03))</f>
        <v>-26029686.119999997</v>
      </c>
      <c r="E62" s="42">
        <f>+D62*C62</f>
        <v>0</v>
      </c>
      <c r="G62" s="43">
        <f>+IF(B41&gt;0,0,B41)</f>
        <v>-36547485</v>
      </c>
      <c r="H62" s="43"/>
      <c r="N62" s="42"/>
    </row>
    <row r="63" spans="2:14" ht="12">
      <c r="B63" s="40" t="s">
        <v>30</v>
      </c>
      <c r="C63" s="41">
        <v>1</v>
      </c>
      <c r="D63" s="42">
        <f>IF(G63&gt;0,0,IF(-$B$40*0.97&lt;G63,G63,-$B$40*0.97))</f>
        <v>-10517798.880000003</v>
      </c>
      <c r="E63" s="42">
        <f>+D63*C63</f>
        <v>-10517798.880000003</v>
      </c>
      <c r="G63" s="43">
        <f>+G62-D62</f>
        <v>-10517798.880000003</v>
      </c>
      <c r="H63" s="43"/>
      <c r="N63" s="42"/>
    </row>
    <row r="64" spans="2:14" ht="12">
      <c r="B64" s="40"/>
      <c r="C64" s="41"/>
      <c r="D64" s="42"/>
      <c r="E64" s="42"/>
      <c r="G64" s="43"/>
      <c r="H64" s="43"/>
      <c r="N64" s="42"/>
    </row>
    <row r="65" spans="2:8" ht="12">
      <c r="B65" s="40"/>
      <c r="C65" s="41"/>
      <c r="D65" s="42"/>
      <c r="E65" s="42"/>
      <c r="H65" s="43"/>
    </row>
    <row r="66" spans="2:8" ht="12">
      <c r="B66" s="40"/>
      <c r="C66" s="41"/>
      <c r="D66" s="42"/>
      <c r="E66" s="42"/>
      <c r="H66" s="43"/>
    </row>
    <row r="67" ht="12" thickBot="1"/>
    <row r="68" spans="1:8" s="32" customFormat="1" ht="12.75">
      <c r="A68" s="46" t="s">
        <v>19</v>
      </c>
      <c r="B68" s="47"/>
      <c r="C68" s="47"/>
      <c r="D68" s="47"/>
      <c r="E68" s="47"/>
      <c r="F68" s="47"/>
      <c r="G68" s="47"/>
      <c r="H68" s="48"/>
    </row>
    <row r="69" spans="1:8" s="32" customFormat="1" ht="12.75">
      <c r="A69" s="49" t="s">
        <v>65</v>
      </c>
      <c r="B69" s="50"/>
      <c r="C69" s="51"/>
      <c r="D69" s="51"/>
      <c r="E69" s="50"/>
      <c r="F69" s="50"/>
      <c r="G69" s="50"/>
      <c r="H69" s="52"/>
    </row>
    <row r="70" spans="1:8" s="32" customFormat="1" ht="12.75">
      <c r="A70" s="49" t="s">
        <v>66</v>
      </c>
      <c r="B70" s="53"/>
      <c r="C70" s="54"/>
      <c r="D70" s="54"/>
      <c r="E70" s="53"/>
      <c r="F70" s="53"/>
      <c r="G70" s="53"/>
      <c r="H70" s="52"/>
    </row>
    <row r="71" spans="1:8" s="32" customFormat="1" ht="12.75">
      <c r="A71" s="49" t="s">
        <v>36</v>
      </c>
      <c r="B71" s="53"/>
      <c r="C71" s="54"/>
      <c r="D71" s="54"/>
      <c r="E71" s="53"/>
      <c r="F71" s="53"/>
      <c r="G71" s="53"/>
      <c r="H71" s="52"/>
    </row>
    <row r="72" spans="1:8" s="32" customFormat="1" ht="12.75">
      <c r="A72" s="49" t="s">
        <v>78</v>
      </c>
      <c r="B72" s="53"/>
      <c r="C72" s="53"/>
      <c r="D72" s="53"/>
      <c r="E72" s="53"/>
      <c r="F72" s="53"/>
      <c r="G72" s="53"/>
      <c r="H72" s="52"/>
    </row>
    <row r="73" spans="1:8" s="32" customFormat="1" ht="12.75">
      <c r="A73" s="55" t="s">
        <v>57</v>
      </c>
      <c r="B73" s="53"/>
      <c r="C73" s="53"/>
      <c r="D73" s="53"/>
      <c r="E73" s="53"/>
      <c r="F73" s="53"/>
      <c r="G73" s="53"/>
      <c r="H73" s="52"/>
    </row>
    <row r="74" spans="1:18" ht="12.75">
      <c r="A74" s="56" t="s">
        <v>38</v>
      </c>
      <c r="B74" s="53"/>
      <c r="C74" s="53"/>
      <c r="D74" s="53"/>
      <c r="E74" s="53"/>
      <c r="F74" s="53"/>
      <c r="G74" s="53"/>
      <c r="H74" s="52"/>
      <c r="I74" s="32"/>
      <c r="J74" s="32"/>
      <c r="K74" s="32"/>
      <c r="L74" s="32"/>
      <c r="M74" s="32"/>
      <c r="N74" s="32"/>
      <c r="O74" s="32"/>
      <c r="P74" s="32"/>
      <c r="Q74" s="32"/>
      <c r="R74" s="32"/>
    </row>
    <row r="75" spans="1:8" ht="12.75">
      <c r="A75" s="57" t="s">
        <v>81</v>
      </c>
      <c r="B75" s="51"/>
      <c r="C75" s="51"/>
      <c r="D75" s="51"/>
      <c r="E75" s="51"/>
      <c r="F75" s="51"/>
      <c r="G75" s="51"/>
      <c r="H75" s="58"/>
    </row>
    <row r="76" spans="1:8" ht="12.75">
      <c r="A76" s="55" t="s">
        <v>67</v>
      </c>
      <c r="B76" s="51"/>
      <c r="C76" s="51"/>
      <c r="D76" s="51"/>
      <c r="E76" s="51"/>
      <c r="F76" s="51"/>
      <c r="G76" s="51"/>
      <c r="H76" s="58"/>
    </row>
    <row r="77" spans="1:8" ht="12.75">
      <c r="A77" s="57" t="s">
        <v>39</v>
      </c>
      <c r="B77" s="51"/>
      <c r="C77" s="51"/>
      <c r="D77" s="51"/>
      <c r="E77" s="51"/>
      <c r="F77" s="51"/>
      <c r="G77" s="51"/>
      <c r="H77" s="58"/>
    </row>
    <row r="78" spans="1:8" ht="12.75">
      <c r="A78" s="59" t="s">
        <v>68</v>
      </c>
      <c r="B78" s="51"/>
      <c r="C78" s="51"/>
      <c r="D78" s="51"/>
      <c r="E78" s="51"/>
      <c r="F78" s="51"/>
      <c r="G78" s="51"/>
      <c r="H78" s="58"/>
    </row>
    <row r="79" spans="1:8" ht="12.75">
      <c r="A79" s="55" t="s">
        <v>40</v>
      </c>
      <c r="B79" s="51"/>
      <c r="C79" s="51"/>
      <c r="D79" s="51"/>
      <c r="E79" s="51"/>
      <c r="F79" s="51"/>
      <c r="G79" s="51"/>
      <c r="H79" s="58"/>
    </row>
    <row r="80" spans="1:8" ht="12.75">
      <c r="A80" s="55" t="s">
        <v>52</v>
      </c>
      <c r="B80" s="51"/>
      <c r="C80" s="51"/>
      <c r="D80" s="51"/>
      <c r="E80" s="51"/>
      <c r="F80" s="51"/>
      <c r="G80" s="51"/>
      <c r="H80" s="58"/>
    </row>
    <row r="81" spans="1:8" ht="13.5" thickBot="1">
      <c r="A81" s="60" t="s">
        <v>54</v>
      </c>
      <c r="B81" s="61"/>
      <c r="C81" s="61"/>
      <c r="D81" s="61"/>
      <c r="E81" s="61"/>
      <c r="F81" s="61"/>
      <c r="G81" s="61"/>
      <c r="H81" s="62"/>
    </row>
  </sheetData>
  <sheetProtection/>
  <mergeCells count="1">
    <mergeCell ref="A6:N6"/>
  </mergeCells>
  <printOptions/>
  <pageMargins left="0.75" right="0.75" top="1" bottom="1" header="0.5" footer="0.5"/>
  <pageSetup fitToHeight="1" fitToWidth="1"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AHCCCS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dfnavas</dc:creator>
  <cp:keywords/>
  <dc:description/>
  <cp:lastModifiedBy>Parra, Carol</cp:lastModifiedBy>
  <cp:lastPrinted>2015-10-27T21:39:33Z</cp:lastPrinted>
  <dcterms:created xsi:type="dcterms:W3CDTF">2011-08-22T23:35:05Z</dcterms:created>
  <dcterms:modified xsi:type="dcterms:W3CDTF">2019-01-24T21:12:55Z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History">
    <vt:lpwstr/>
  </property>
  <property fmtid="{D5CDD505-2E9C-101B-9397-08002B2CF9AE}" pid="3" name="status">
    <vt:lpwstr>Active</vt:lpwstr>
  </property>
  <property fmtid="{D5CDD505-2E9C-101B-9397-08002B2CF9AE}" pid="4" name="WorkflowChangePath">
    <vt:lpwstr>173d42c7-3487-41a1-8f37-2b3815e72e09,4;</vt:lpwstr>
  </property>
  <property fmtid="{D5CDD505-2E9C-101B-9397-08002B2CF9AE}" pid="5" name="AMPM Chapter test">
    <vt:lpwstr>Chapter 100</vt:lpwstr>
  </property>
  <property fmtid="{D5CDD505-2E9C-101B-9397-08002B2CF9AE}" pid="6" name="Checked Out">
    <vt:lpwstr>0</vt:lpwstr>
  </property>
  <property fmtid="{D5CDD505-2E9C-101B-9397-08002B2CF9AE}" pid="7" name="AD Sign Off Date">
    <vt:lpwstr/>
  </property>
  <property fmtid="{D5CDD505-2E9C-101B-9397-08002B2CF9AE}" pid="8" name="AMPMChapter">
    <vt:lpwstr/>
  </property>
  <property fmtid="{D5CDD505-2E9C-101B-9397-08002B2CF9AE}" pid="9" name="Effective Publication Date">
    <vt:lpwstr/>
  </property>
  <property fmtid="{D5CDD505-2E9C-101B-9397-08002B2CF9AE}" pid="10" name="PolStatus0">
    <vt:lpwstr/>
  </property>
  <property fmtid="{D5CDD505-2E9C-101B-9397-08002B2CF9AE}" pid="11" name="Active Date">
    <vt:lpwstr/>
  </property>
  <property fmtid="{D5CDD505-2E9C-101B-9397-08002B2CF9AE}" pid="12" name="TCN PC End Date">
    <vt:lpwstr/>
  </property>
  <property fmtid="{D5CDD505-2E9C-101B-9397-08002B2CF9AE}" pid="13" name="Hold Date">
    <vt:lpwstr/>
  </property>
  <property fmtid="{D5CDD505-2E9C-101B-9397-08002B2CF9AE}" pid="14" name="APC Meeting Date">
    <vt:lpwstr/>
  </property>
  <property fmtid="{D5CDD505-2E9C-101B-9397-08002B2CF9AE}" pid="15" name="TCN PC Begin Date">
    <vt:lpwstr/>
  </property>
  <property fmtid="{D5CDD505-2E9C-101B-9397-08002B2CF9AE}" pid="16" name="Sent to AD Date">
    <vt:lpwstr/>
  </property>
  <property fmtid="{D5CDD505-2E9C-101B-9397-08002B2CF9AE}" pid="17" name="ANYE Publication Date">
    <vt:lpwstr/>
  </property>
</Properties>
</file>